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85" yWindow="270" windowWidth="10455" windowHeight="9855" tabRatio="637" activeTab="0"/>
  </bookViews>
  <sheets>
    <sheet name="Raw Data" sheetId="1" r:id="rId1"/>
    <sheet name="Data Summary" sheetId="2" r:id="rId2"/>
    <sheet name="Emissions" sheetId="3" r:id="rId3"/>
    <sheet name="Scalar Factors" sheetId="4" r:id="rId4"/>
    <sheet name="70 Year Exposure Adjustments" sheetId="5" r:id="rId5"/>
  </sheets>
  <definedNames/>
  <calcPr fullCalcOnLoad="1"/>
</workbook>
</file>

<file path=xl/sharedStrings.xml><?xml version="1.0" encoding="utf-8"?>
<sst xmlns="http://schemas.openxmlformats.org/spreadsheetml/2006/main" count="737" uniqueCount="167">
  <si>
    <t>Area</t>
  </si>
  <si>
    <t>CalYr</t>
  </si>
  <si>
    <t>Season</t>
  </si>
  <si>
    <t>Fuel</t>
  </si>
  <si>
    <t>Veh</t>
  </si>
  <si>
    <t>MdlYr</t>
  </si>
  <si>
    <t>Annual</t>
  </si>
  <si>
    <t>DSL</t>
  </si>
  <si>
    <t>LDA</t>
  </si>
  <si>
    <t>LDT1</t>
  </si>
  <si>
    <t>LDT2</t>
  </si>
  <si>
    <t>LHD1</t>
  </si>
  <si>
    <t>LHD2</t>
  </si>
  <si>
    <t>MDV</t>
  </si>
  <si>
    <t>MH</t>
  </si>
  <si>
    <t>OBUS</t>
  </si>
  <si>
    <t>SBUS</t>
  </si>
  <si>
    <t>T6</t>
  </si>
  <si>
    <t>T7</t>
  </si>
  <si>
    <t>UBUS</t>
  </si>
  <si>
    <t>GAS</t>
  </si>
  <si>
    <t>MCY</t>
  </si>
  <si>
    <t>Gas</t>
  </si>
  <si>
    <t>Total</t>
  </si>
  <si>
    <t>Grand Total</t>
  </si>
  <si>
    <t>Totals</t>
  </si>
  <si>
    <t>Street Name:</t>
  </si>
  <si>
    <t>Street AADT:</t>
  </si>
  <si>
    <t>Average Speed:</t>
  </si>
  <si>
    <t>Distance Modeled:</t>
  </si>
  <si>
    <t>MPH</t>
  </si>
  <si>
    <t xml:space="preserve">meters = </t>
  </si>
  <si>
    <t>Feet</t>
  </si>
  <si>
    <t>Sum</t>
  </si>
  <si>
    <t>Emissions Start Year:</t>
  </si>
  <si>
    <t>Fraction</t>
  </si>
  <si>
    <t>Chemical Name</t>
  </si>
  <si>
    <t>CAS#</t>
  </si>
  <si>
    <t>Hourly</t>
  </si>
  <si>
    <t>County</t>
  </si>
  <si>
    <t>Code</t>
  </si>
  <si>
    <t>Device</t>
  </si>
  <si>
    <t>ID</t>
  </si>
  <si>
    <t>Process</t>
  </si>
  <si>
    <t>Facility</t>
  </si>
  <si>
    <t>Calendar</t>
  </si>
  <si>
    <t>Year</t>
  </si>
  <si>
    <t>lbs</t>
  </si>
  <si>
    <t>Device ID</t>
  </si>
  <si>
    <t>PM10_RUNEX</t>
  </si>
  <si>
    <t>PM2_5_RUNEX</t>
  </si>
  <si>
    <t>NOX_RUNEX</t>
  </si>
  <si>
    <t>CO_RUNEX</t>
  </si>
  <si>
    <t>Acetaldehyde</t>
  </si>
  <si>
    <t>Acrolein</t>
  </si>
  <si>
    <t>Benzene</t>
  </si>
  <si>
    <t>1,3-Butadiene</t>
  </si>
  <si>
    <t>Ethylbenzene</t>
  </si>
  <si>
    <t>Formaldehyde</t>
  </si>
  <si>
    <t>Hexane</t>
  </si>
  <si>
    <t>Methanol</t>
  </si>
  <si>
    <t>Methyl Ethyl Ketone</t>
  </si>
  <si>
    <t>Naphthalene</t>
  </si>
  <si>
    <t>Propylene</t>
  </si>
  <si>
    <t>Styrene</t>
  </si>
  <si>
    <t>Toluene</t>
  </si>
  <si>
    <t>Xylenes</t>
  </si>
  <si>
    <t>TOG_RUNEX</t>
  </si>
  <si>
    <t>TOG_RUNLS</t>
  </si>
  <si>
    <t>Use County Trk %</t>
  </si>
  <si>
    <t>Running Exhaust</t>
  </si>
  <si>
    <t>Evaporavtive Losses</t>
  </si>
  <si>
    <t>Adjustment</t>
  </si>
  <si>
    <t>User Truck %:</t>
  </si>
  <si>
    <t>SOX_RUNEX</t>
  </si>
  <si>
    <t>Diesel</t>
  </si>
  <si>
    <t>Note: at age 2*, the factors are weighted for 0.25 years by 10 and 0.75 years by 3; at age 16**, the factor is weighted by 0.25 years at 3 and 0.75
by 1.</t>
  </si>
  <si>
    <t>Sensitivity
Weighted
Emission Rate (g/vehiclemile)</t>
  </si>
  <si>
    <t>Emission Rate
(g/vehicle-mile)</t>
  </si>
  <si>
    <t>Tons
/day</t>
  </si>
  <si>
    <t>VMT
/1000</t>
  </si>
  <si>
    <t>EMFAC
Year</t>
  </si>
  <si>
    <t>Risk Year</t>
  </si>
  <si>
    <t>Sensitivity
Weighted
Emission Rate (g/vehicle-mile)</t>
  </si>
  <si>
    <t>Sensitivity
Weighting
Factor</t>
  </si>
  <si>
    <t>Age
Sensitivity
Factor</t>
  </si>
  <si>
    <t>Period 
(years)</t>
  </si>
  <si>
    <t>Gasoline</t>
  </si>
  <si>
    <t>No. Years:</t>
  </si>
  <si>
    <t>*</t>
  </si>
  <si>
    <t>**</t>
  </si>
  <si>
    <t>70 yr g/VMT</t>
  </si>
  <si>
    <t>TOG</t>
  </si>
  <si>
    <t>PM2.5</t>
  </si>
  <si>
    <t>Max Hourly</t>
  </si>
  <si>
    <t>% of Total</t>
  </si>
  <si>
    <t>Hour</t>
  </si>
  <si>
    <t>XXX</t>
  </si>
  <si>
    <t>Days / Year</t>
  </si>
  <si>
    <t>lbs/Day</t>
  </si>
  <si>
    <t>Lbs / Yr</t>
  </si>
  <si>
    <t>Lbs/Hour</t>
  </si>
  <si>
    <t>All Veh</t>
  </si>
  <si>
    <t>Run Exhaust
Lbs/Hour</t>
  </si>
  <si>
    <t xml:space="preserve"> Evaporative Losses
Lbs/Hour</t>
  </si>
  <si>
    <t>Diesel Veh</t>
  </si>
  <si>
    <t>Gasoline
Vehicles</t>
  </si>
  <si>
    <t>Total
Lb/Hour</t>
  </si>
  <si>
    <t>g/VMT</t>
  </si>
  <si>
    <t>VMT_Frac</t>
  </si>
  <si>
    <t>Est_Pop</t>
  </si>
  <si>
    <t>VMT</t>
  </si>
  <si>
    <t>Scen Year</t>
  </si>
  <si>
    <t>HR</t>
  </si>
  <si>
    <t>Scalar Diesel Only</t>
  </si>
  <si>
    <t>Max Values</t>
  </si>
  <si>
    <t>All LDV VMT</t>
  </si>
  <si>
    <t>HD VMT</t>
  </si>
  <si>
    <t>LDV Diesel VMT</t>
  </si>
  <si>
    <t>Total Diesel VMT</t>
  </si>
  <si>
    <t>CARB
TOG Speciation Profile
Run Exhaust</t>
  </si>
  <si>
    <t>CARB
TOG Speciation Profile
Evaporative Losses</t>
  </si>
  <si>
    <t>PM10 Adjustment Factor</t>
  </si>
  <si>
    <t>TOG Adjustment Factor</t>
  </si>
  <si>
    <t>Toxic Emissions by Vehicles Category (Lbs/Day)</t>
  </si>
  <si>
    <t>PM10 (DSL)</t>
  </si>
  <si>
    <t>FRE</t>
  </si>
  <si>
    <t>County Code:</t>
  </si>
  <si>
    <t>County   Abbr.:</t>
  </si>
  <si>
    <t>Facility ID:</t>
  </si>
  <si>
    <t>Process ID:</t>
  </si>
  <si>
    <t>Scalar Gasoline</t>
  </si>
  <si>
    <t>Y</t>
  </si>
  <si>
    <t>Overall Percent by Vehicle Class &amp; Fuel Type</t>
  </si>
  <si>
    <t>Vehicle Population (Daily) by Vehicle Class &amp; Fuel Type</t>
  </si>
  <si>
    <t>Percent By Vehicle Class &amp; Fuel Type</t>
  </si>
  <si>
    <t>TOG Run Exhaust Emission Rate (g/mile)
by Vehicle Class &amp; Fuel Type</t>
  </si>
  <si>
    <t>TOG Evaporative Losses Emission Rate (g/mile)
by Vehicle Class &amp; Fuel Type</t>
  </si>
  <si>
    <t>PM10 Emission Rate (g/mile)
by Vehicle Class &amp; Fuel Type</t>
  </si>
  <si>
    <t>PM2.5 Emission Rate (g/mile)
by Vehicle Class &amp; Fuel Type</t>
  </si>
  <si>
    <t>NOx Emission Rate (g/mile)
by Vehicle Class &amp; Fuel Type</t>
  </si>
  <si>
    <t>CO Emission Rate (g/mile)
by Vehicle Class &amp; Fuel Type</t>
  </si>
  <si>
    <t>SOx Emission Rate (g/mile)
by Vehicle CLass &amp; Fuel Type</t>
  </si>
  <si>
    <t>TOG Run Exhaust Emissions (lbs/day) by Vehicles Class &amp; Fuel Type</t>
  </si>
  <si>
    <t>TOG Evaporative Losses Emissions (lbs/day) by Vehicles Class &amp; Fuel Type</t>
  </si>
  <si>
    <t>AADT by Vehicle Class &amp; Fuel Type</t>
  </si>
  <si>
    <t>PM10 Emissions (lbs/day) by Vehicles Class &amp; Fuel Type</t>
  </si>
  <si>
    <t>PM2.5 Emissions (lbs/day) by Vehicles Class &amp; Fuel Type</t>
  </si>
  <si>
    <t>NOx Emissions (lbs/day) by Vehicles Class &amp; Fuel Type</t>
  </si>
  <si>
    <t>CO Emissions (lbs/day) by Vehicles Class &amp; Fuel Type</t>
  </si>
  <si>
    <t>SOx Emissions (lbs/day) by Vehicles Class &amp; Fuel Type</t>
  </si>
  <si>
    <t>District HARP OnRamp Input Table</t>
  </si>
  <si>
    <t>Fresno (SJV)</t>
  </si>
  <si>
    <t>AllMYr</t>
  </si>
  <si>
    <t>0-70</t>
  </si>
  <si>
    <t>LHDT1</t>
  </si>
  <si>
    <t>LHDT2</t>
  </si>
  <si>
    <t>ROG_RUNEX</t>
  </si>
  <si>
    <t>CO2_RUNEX</t>
  </si>
  <si>
    <t>CO2_Pavely_RUNEX</t>
  </si>
  <si>
    <t>ROG Emission Rate (g/mile)
by Vehicle CLass &amp; Fuel Type</t>
  </si>
  <si>
    <t>CO2 Emission Rate (g/mile)
by Vehicle CLass &amp; Fuel Type</t>
  </si>
  <si>
    <t>CO2 - Pavely Emission Rate (g/mile)
by Vehicle CLass &amp; Fuel Type</t>
  </si>
  <si>
    <t>ROG Emissions (lbs/day) by Vehicles Class &amp; Fuel Type</t>
  </si>
  <si>
    <t>CO2 Emissions (lbs/day) by Vehicles Class &amp; Fuel Type</t>
  </si>
  <si>
    <t>CO2 - Pavely Emissions (lbs/day) by Vehicles Class &amp; Fuel Type</t>
  </si>
  <si>
    <t>DSL Only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</si>
</sst>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0.0000"/>
    <numFmt numFmtId="167" formatCode="0.000E+00"/>
    <numFmt numFmtId="168" formatCode="[$-1010409]#,##0.00;\-#,##0.00"/>
    <numFmt numFmtId="169" formatCode="0.0"/>
    <numFmt numFmtId="170" formatCode="[$-1010409]#,##0;\-#,##0"/>
    <numFmt numFmtId="171" formatCode="#,##0.0000"/>
    <numFmt numFmtId="172" formatCode="0.00000000"/>
    <numFmt numFmtId="173" formatCode="0.0000000"/>
    <numFmt numFmtId="174" formatCode="0.000000"/>
    <numFmt numFmtId="175" formatCode="0.0000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  <numFmt numFmtId="182" formatCode="[$-409]dddd\,\ mmmm\ dd\,\ yyyy"/>
    <numFmt numFmtId="183" formatCode="[$-409]h:mm:ss\ AM/PM"/>
    <numFmt numFmtId="184" formatCode="_(* #,##0.0_);_(* \(#,##0.0\);_(* &quot;-&quot;??_);_(@_)"/>
    <numFmt numFmtId="185" formatCode="_(* #,##0_);_(* \(#,##0\);_(* &quot;-&quot;??_);_(@_)"/>
  </numFmts>
  <fonts count="48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11" fontId="42" fillId="0" borderId="10" xfId="0" applyNumberFormat="1" applyFont="1" applyBorder="1" applyAlignment="1">
      <alignment horizontal="center" vertical="center"/>
    </xf>
    <xf numFmtId="11" fontId="42" fillId="0" borderId="11" xfId="0" applyNumberFormat="1" applyFont="1" applyBorder="1" applyAlignment="1">
      <alignment horizontal="center" vertical="center"/>
    </xf>
    <xf numFmtId="11" fontId="42" fillId="0" borderId="12" xfId="0" applyNumberFormat="1" applyFont="1" applyBorder="1" applyAlignment="1">
      <alignment horizontal="center" vertical="center"/>
    </xf>
    <xf numFmtId="11" fontId="42" fillId="0" borderId="13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/>
    </xf>
    <xf numFmtId="0" fontId="4" fillId="0" borderId="15" xfId="60" applyFont="1" applyFill="1" applyBorder="1" applyAlignment="1">
      <alignment horizontal="center" wrapText="1"/>
      <protection/>
    </xf>
    <xf numFmtId="0" fontId="4" fillId="0" borderId="13" xfId="60" applyFont="1" applyFill="1" applyBorder="1" applyAlignment="1">
      <alignment horizontal="center" wrapText="1"/>
      <protection/>
    </xf>
    <xf numFmtId="0" fontId="43" fillId="0" borderId="16" xfId="0" applyFont="1" applyBorder="1" applyAlignment="1">
      <alignment horizontal="center"/>
    </xf>
    <xf numFmtId="3" fontId="42" fillId="0" borderId="17" xfId="0" applyNumberFormat="1" applyFont="1" applyBorder="1" applyAlignment="1">
      <alignment horizontal="center"/>
    </xf>
    <xf numFmtId="3" fontId="42" fillId="0" borderId="18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3" fontId="42" fillId="0" borderId="20" xfId="0" applyNumberFormat="1" applyFont="1" applyBorder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3" fontId="42" fillId="0" borderId="22" xfId="0" applyNumberFormat="1" applyFont="1" applyBorder="1" applyAlignment="1">
      <alignment horizontal="center"/>
    </xf>
    <xf numFmtId="3" fontId="42" fillId="0" borderId="15" xfId="0" applyNumberFormat="1" applyFont="1" applyBorder="1" applyAlignment="1">
      <alignment horizontal="center"/>
    </xf>
    <xf numFmtId="3" fontId="42" fillId="0" borderId="13" xfId="0" applyNumberFormat="1" applyFont="1" applyBorder="1" applyAlignment="1">
      <alignment horizontal="center"/>
    </xf>
    <xf numFmtId="10" fontId="42" fillId="0" borderId="17" xfId="0" applyNumberFormat="1" applyFont="1" applyBorder="1" applyAlignment="1">
      <alignment horizontal="center"/>
    </xf>
    <xf numFmtId="10" fontId="42" fillId="0" borderId="23" xfId="0" applyNumberFormat="1" applyFont="1" applyBorder="1" applyAlignment="1">
      <alignment horizontal="center"/>
    </xf>
    <xf numFmtId="10" fontId="42" fillId="0" borderId="20" xfId="0" applyNumberFormat="1" applyFont="1" applyBorder="1" applyAlignment="1">
      <alignment horizontal="center"/>
    </xf>
    <xf numFmtId="10" fontId="42" fillId="0" borderId="24" xfId="0" applyNumberFormat="1" applyFont="1" applyBorder="1" applyAlignment="1">
      <alignment horizontal="center"/>
    </xf>
    <xf numFmtId="9" fontId="42" fillId="0" borderId="22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9" fontId="42" fillId="0" borderId="13" xfId="0" applyNumberFormat="1" applyFont="1" applyBorder="1" applyAlignment="1">
      <alignment horizontal="center"/>
    </xf>
    <xf numFmtId="10" fontId="42" fillId="0" borderId="0" xfId="0" applyNumberFormat="1" applyFont="1" applyAlignment="1">
      <alignment/>
    </xf>
    <xf numFmtId="10" fontId="42" fillId="0" borderId="22" xfId="0" applyNumberFormat="1" applyFont="1" applyBorder="1" applyAlignment="1">
      <alignment horizontal="center"/>
    </xf>
    <xf numFmtId="10" fontId="42" fillId="0" borderId="15" xfId="0" applyNumberFormat="1" applyFont="1" applyBorder="1" applyAlignment="1">
      <alignment horizontal="center"/>
    </xf>
    <xf numFmtId="10" fontId="42" fillId="0" borderId="13" xfId="0" applyNumberFormat="1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" fillId="0" borderId="26" xfId="60" applyFont="1" applyFill="1" applyBorder="1" applyAlignment="1">
      <alignment horizontal="center" wrapText="1"/>
      <protection/>
    </xf>
    <xf numFmtId="0" fontId="4" fillId="0" borderId="27" xfId="60" applyFont="1" applyFill="1" applyBorder="1" applyAlignment="1">
      <alignment horizontal="center" wrapText="1"/>
      <protection/>
    </xf>
    <xf numFmtId="164" fontId="42" fillId="0" borderId="28" xfId="0" applyNumberFormat="1" applyFont="1" applyBorder="1" applyAlignment="1">
      <alignment horizontal="center"/>
    </xf>
    <xf numFmtId="164" fontId="42" fillId="0" borderId="29" xfId="0" applyNumberFormat="1" applyFont="1" applyBorder="1" applyAlignment="1">
      <alignment horizontal="center"/>
    </xf>
    <xf numFmtId="164" fontId="42" fillId="0" borderId="30" xfId="0" applyNumberFormat="1" applyFont="1" applyBorder="1" applyAlignment="1">
      <alignment horizontal="center"/>
    </xf>
    <xf numFmtId="164" fontId="42" fillId="0" borderId="22" xfId="0" applyNumberFormat="1" applyFont="1" applyBorder="1" applyAlignment="1">
      <alignment horizontal="center"/>
    </xf>
    <xf numFmtId="164" fontId="42" fillId="0" borderId="15" xfId="0" applyNumberFormat="1" applyFont="1" applyBorder="1" applyAlignment="1">
      <alignment horizontal="center"/>
    </xf>
    <xf numFmtId="164" fontId="42" fillId="0" borderId="13" xfId="0" applyNumberFormat="1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" fillId="0" borderId="11" xfId="60" applyFont="1" applyFill="1" applyBorder="1" applyAlignment="1">
      <alignment horizontal="center" wrapText="1"/>
      <protection/>
    </xf>
    <xf numFmtId="0" fontId="4" fillId="0" borderId="12" xfId="60" applyFont="1" applyFill="1" applyBorder="1" applyAlignment="1">
      <alignment horizontal="center" wrapText="1"/>
      <protection/>
    </xf>
    <xf numFmtId="165" fontId="3" fillId="0" borderId="26" xfId="60" applyNumberFormat="1" applyFont="1" applyFill="1" applyBorder="1" applyAlignment="1">
      <alignment horizontal="center" wrapText="1"/>
      <protection/>
    </xf>
    <xf numFmtId="165" fontId="3" fillId="0" borderId="27" xfId="60" applyNumberFormat="1" applyFont="1" applyFill="1" applyBorder="1" applyAlignment="1">
      <alignment horizontal="center" wrapText="1"/>
      <protection/>
    </xf>
    <xf numFmtId="165" fontId="3" fillId="0" borderId="11" xfId="60" applyNumberFormat="1" applyFont="1" applyFill="1" applyBorder="1" applyAlignment="1">
      <alignment horizontal="center" wrapText="1"/>
      <protection/>
    </xf>
    <xf numFmtId="165" fontId="3" fillId="0" borderId="12" xfId="60" applyNumberFormat="1" applyFont="1" applyFill="1" applyBorder="1" applyAlignment="1">
      <alignment horizontal="center" wrapText="1"/>
      <protection/>
    </xf>
    <xf numFmtId="0" fontId="43" fillId="0" borderId="0" xfId="0" applyFont="1" applyBorder="1" applyAlignment="1">
      <alignment horizontal="center"/>
    </xf>
    <xf numFmtId="164" fontId="42" fillId="0" borderId="0" xfId="0" applyNumberFormat="1" applyFont="1" applyBorder="1" applyAlignment="1">
      <alignment horizontal="center"/>
    </xf>
    <xf numFmtId="0" fontId="4" fillId="0" borderId="14" xfId="62" applyFont="1" applyFill="1" applyBorder="1" applyAlignment="1">
      <alignment horizontal="center"/>
      <protection/>
    </xf>
    <xf numFmtId="0" fontId="4" fillId="0" borderId="13" xfId="62" applyFont="1" applyFill="1" applyBorder="1" applyAlignment="1">
      <alignment horizontal="center"/>
      <protection/>
    </xf>
    <xf numFmtId="0" fontId="42" fillId="0" borderId="0" xfId="0" applyFont="1" applyFill="1" applyAlignment="1">
      <alignment/>
    </xf>
    <xf numFmtId="0" fontId="3" fillId="0" borderId="0" xfId="63" applyFont="1" applyFill="1" applyBorder="1" applyAlignment="1">
      <alignment horizontal="center"/>
      <protection/>
    </xf>
    <xf numFmtId="165" fontId="42" fillId="0" borderId="0" xfId="0" applyNumberFormat="1" applyFont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2" fontId="42" fillId="0" borderId="0" xfId="0" applyNumberFormat="1" applyFont="1" applyAlignment="1">
      <alignment horizontal="center"/>
    </xf>
    <xf numFmtId="0" fontId="3" fillId="0" borderId="0" xfId="63" applyFont="1" applyFill="1" applyBorder="1" applyAlignment="1">
      <alignment horizontal="right" wrapText="1"/>
      <protection/>
    </xf>
    <xf numFmtId="166" fontId="3" fillId="0" borderId="0" xfId="63" applyNumberFormat="1" applyFont="1" applyFill="1" applyBorder="1" applyAlignment="1">
      <alignment horizontal="center" wrapText="1"/>
      <protection/>
    </xf>
    <xf numFmtId="167" fontId="42" fillId="0" borderId="12" xfId="0" applyNumberFormat="1" applyFont="1" applyBorder="1" applyAlignment="1">
      <alignment horizontal="center" vertical="center"/>
    </xf>
    <xf numFmtId="167" fontId="42" fillId="0" borderId="13" xfId="0" applyNumberFormat="1" applyFont="1" applyBorder="1" applyAlignment="1">
      <alignment horizontal="center" vertical="center"/>
    </xf>
    <xf numFmtId="167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33" borderId="0" xfId="0" applyFont="1" applyFill="1" applyAlignment="1">
      <alignment/>
    </xf>
    <xf numFmtId="10" fontId="42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0" fontId="43" fillId="0" borderId="31" xfId="0" applyFont="1" applyBorder="1" applyAlignment="1">
      <alignment horizontal="center" vertical="center"/>
    </xf>
    <xf numFmtId="3" fontId="42" fillId="0" borderId="0" xfId="0" applyNumberFormat="1" applyFont="1" applyAlignment="1">
      <alignment horizontal="center"/>
    </xf>
    <xf numFmtId="0" fontId="43" fillId="0" borderId="14" xfId="0" applyFont="1" applyBorder="1" applyAlignment="1">
      <alignment horizontal="center" vertical="center"/>
    </xf>
    <xf numFmtId="4" fontId="42" fillId="0" borderId="11" xfId="0" applyNumberFormat="1" applyFont="1" applyBorder="1" applyAlignment="1">
      <alignment horizontal="center"/>
    </xf>
    <xf numFmtId="4" fontId="42" fillId="0" borderId="12" xfId="0" applyNumberFormat="1" applyFont="1" applyBorder="1" applyAlignment="1">
      <alignment horizontal="center"/>
    </xf>
    <xf numFmtId="4" fontId="42" fillId="0" borderId="15" xfId="0" applyNumberFormat="1" applyFont="1" applyBorder="1" applyAlignment="1">
      <alignment horizontal="center"/>
    </xf>
    <xf numFmtId="4" fontId="42" fillId="0" borderId="13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4" fontId="42" fillId="0" borderId="0" xfId="0" applyNumberFormat="1" applyFont="1" applyBorder="1" applyAlignment="1">
      <alignment horizontal="center"/>
    </xf>
    <xf numFmtId="2" fontId="3" fillId="0" borderId="11" xfId="60" applyNumberFormat="1" applyFont="1" applyFill="1" applyBorder="1" applyAlignment="1">
      <alignment horizontal="center" wrapText="1"/>
      <protection/>
    </xf>
    <xf numFmtId="2" fontId="3" fillId="0" borderId="12" xfId="60" applyNumberFormat="1" applyFont="1" applyFill="1" applyBorder="1" applyAlignment="1">
      <alignment horizontal="center" wrapText="1"/>
      <protection/>
    </xf>
    <xf numFmtId="2" fontId="42" fillId="0" borderId="15" xfId="0" applyNumberFormat="1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0" fontId="42" fillId="0" borderId="0" xfId="0" applyFont="1" applyAlignment="1">
      <alignment horizontal="right"/>
    </xf>
    <xf numFmtId="2" fontId="42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3" fillId="0" borderId="11" xfId="59" applyFont="1" applyBorder="1" applyAlignment="1">
      <alignment horizontal="center" vertical="center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5" xfId="59" applyFont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4" fontId="42" fillId="0" borderId="0" xfId="0" applyNumberFormat="1" applyFont="1" applyAlignment="1">
      <alignment/>
    </xf>
    <xf numFmtId="11" fontId="3" fillId="0" borderId="12" xfId="59" applyNumberFormat="1" applyFont="1" applyBorder="1" applyAlignment="1">
      <alignment horizontal="center" vertical="center"/>
      <protection/>
    </xf>
    <xf numFmtId="0" fontId="3" fillId="0" borderId="11" xfId="59" applyFont="1" applyFill="1" applyBorder="1" applyAlignment="1">
      <alignment horizontal="center" vertical="center"/>
      <protection/>
    </xf>
    <xf numFmtId="11" fontId="3" fillId="0" borderId="11" xfId="59" applyNumberFormat="1" applyFont="1" applyFill="1" applyBorder="1" applyAlignment="1">
      <alignment horizontal="center" vertical="center"/>
      <protection/>
    </xf>
    <xf numFmtId="0" fontId="3" fillId="0" borderId="31" xfId="59" applyFont="1" applyFill="1" applyBorder="1" applyAlignment="1">
      <alignment horizontal="center" vertical="center"/>
      <protection/>
    </xf>
    <xf numFmtId="11" fontId="42" fillId="0" borderId="15" xfId="0" applyNumberFormat="1" applyFont="1" applyBorder="1" applyAlignment="1">
      <alignment horizontal="center" vertical="center"/>
    </xf>
    <xf numFmtId="11" fontId="3" fillId="0" borderId="13" xfId="59" applyNumberFormat="1" applyFont="1" applyBorder="1" applyAlignment="1">
      <alignment horizontal="center" vertical="center"/>
      <protection/>
    </xf>
    <xf numFmtId="0" fontId="42" fillId="0" borderId="11" xfId="0" applyFont="1" applyFill="1" applyBorder="1" applyAlignment="1">
      <alignment horizontal="center" vertical="center"/>
    </xf>
    <xf numFmtId="0" fontId="3" fillId="0" borderId="12" xfId="59" applyFont="1" applyFill="1" applyBorder="1" applyAlignment="1">
      <alignment horizontal="center" vertical="center"/>
      <protection/>
    </xf>
    <xf numFmtId="0" fontId="42" fillId="0" borderId="32" xfId="0" applyFont="1" applyBorder="1" applyAlignment="1">
      <alignment horizontal="center" vertical="center"/>
    </xf>
    <xf numFmtId="11" fontId="42" fillId="0" borderId="29" xfId="0" applyNumberFormat="1" applyFont="1" applyBorder="1" applyAlignment="1">
      <alignment horizontal="center" vertical="center"/>
    </xf>
    <xf numFmtId="11" fontId="42" fillId="0" borderId="30" xfId="0" applyNumberFormat="1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11" fontId="42" fillId="0" borderId="36" xfId="0" applyNumberFormat="1" applyFont="1" applyBorder="1" applyAlignment="1">
      <alignment horizontal="center" vertical="center"/>
    </xf>
    <xf numFmtId="11" fontId="42" fillId="0" borderId="31" xfId="0" applyNumberFormat="1" applyFont="1" applyBorder="1" applyAlignment="1">
      <alignment horizontal="center" vertical="center"/>
    </xf>
    <xf numFmtId="11" fontId="42" fillId="0" borderId="14" xfId="0" applyNumberFormat="1" applyFont="1" applyBorder="1" applyAlignment="1">
      <alignment horizontal="center" vertical="center"/>
    </xf>
    <xf numFmtId="0" fontId="4" fillId="0" borderId="29" xfId="60" applyFont="1" applyFill="1" applyBorder="1" applyAlignment="1">
      <alignment horizontal="center" wrapText="1"/>
      <protection/>
    </xf>
    <xf numFmtId="0" fontId="4" fillId="0" borderId="30" xfId="60" applyFont="1" applyFill="1" applyBorder="1" applyAlignment="1">
      <alignment horizontal="center" wrapText="1"/>
      <protection/>
    </xf>
    <xf numFmtId="0" fontId="43" fillId="0" borderId="0" xfId="0" applyFont="1" applyAlignment="1">
      <alignment horizontal="left" vertical="center"/>
    </xf>
    <xf numFmtId="165" fontId="42" fillId="0" borderId="13" xfId="0" applyNumberFormat="1" applyFont="1" applyBorder="1" applyAlignment="1">
      <alignment horizontal="center"/>
    </xf>
    <xf numFmtId="0" fontId="3" fillId="33" borderId="15" xfId="58" applyFont="1" applyFill="1" applyBorder="1" applyAlignment="1">
      <alignment horizontal="center" vertical="center" wrapText="1"/>
      <protection/>
    </xf>
    <xf numFmtId="165" fontId="42" fillId="0" borderId="13" xfId="0" applyNumberFormat="1" applyFont="1" applyBorder="1" applyAlignment="1">
      <alignment horizontal="center" vertical="center"/>
    </xf>
    <xf numFmtId="165" fontId="42" fillId="0" borderId="12" xfId="0" applyNumberFormat="1" applyFont="1" applyBorder="1" applyAlignment="1">
      <alignment horizontal="center"/>
    </xf>
    <xf numFmtId="0" fontId="3" fillId="33" borderId="11" xfId="58" applyFont="1" applyFill="1" applyBorder="1" applyAlignment="1">
      <alignment horizontal="center" vertical="center" wrapText="1"/>
      <protection/>
    </xf>
    <xf numFmtId="165" fontId="42" fillId="0" borderId="12" xfId="0" applyNumberFormat="1" applyFont="1" applyBorder="1" applyAlignment="1">
      <alignment horizontal="center" vertical="center"/>
    </xf>
    <xf numFmtId="165" fontId="42" fillId="0" borderId="10" xfId="0" applyNumberFormat="1" applyFont="1" applyBorder="1" applyAlignment="1">
      <alignment horizontal="center"/>
    </xf>
    <xf numFmtId="165" fontId="42" fillId="0" borderId="18" xfId="0" applyNumberFormat="1" applyFont="1" applyBorder="1" applyAlignment="1">
      <alignment horizontal="center"/>
    </xf>
    <xf numFmtId="165" fontId="42" fillId="0" borderId="10" xfId="0" applyNumberFormat="1" applyFont="1" applyBorder="1" applyAlignment="1">
      <alignment horizontal="center" vertical="center"/>
    </xf>
    <xf numFmtId="165" fontId="42" fillId="0" borderId="18" xfId="0" applyNumberFormat="1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 wrapText="1"/>
    </xf>
    <xf numFmtId="0" fontId="3" fillId="0" borderId="33" xfId="57" applyFont="1" applyFill="1" applyBorder="1" applyAlignment="1">
      <alignment horizontal="center" vertical="center" wrapText="1"/>
      <protection/>
    </xf>
    <xf numFmtId="0" fontId="3" fillId="0" borderId="38" xfId="57" applyFont="1" applyFill="1" applyBorder="1" applyAlignment="1">
      <alignment horizontal="center" vertical="center" wrapText="1"/>
      <protection/>
    </xf>
    <xf numFmtId="0" fontId="42" fillId="0" borderId="38" xfId="0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166" fontId="42" fillId="0" borderId="18" xfId="0" applyNumberFormat="1" applyFont="1" applyBorder="1" applyAlignment="1">
      <alignment horizontal="center"/>
    </xf>
    <xf numFmtId="1" fontId="3" fillId="33" borderId="32" xfId="58" applyNumberFormat="1" applyFont="1" applyFill="1" applyBorder="1" applyAlignment="1">
      <alignment horizontal="center" vertical="center" wrapText="1"/>
      <protection/>
    </xf>
    <xf numFmtId="1" fontId="3" fillId="33" borderId="31" xfId="58" applyNumberFormat="1" applyFont="1" applyFill="1" applyBorder="1" applyAlignment="1">
      <alignment horizontal="center" vertical="center" wrapText="1"/>
      <protection/>
    </xf>
    <xf numFmtId="1" fontId="3" fillId="33" borderId="14" xfId="58" applyNumberFormat="1" applyFont="1" applyFill="1" applyBorder="1" applyAlignment="1">
      <alignment horizontal="center" vertical="center" wrapText="1"/>
      <protection/>
    </xf>
    <xf numFmtId="2" fontId="3" fillId="33" borderId="18" xfId="58" applyNumberFormat="1" applyFont="1" applyFill="1" applyBorder="1" applyAlignment="1">
      <alignment horizontal="center" vertical="center" wrapText="1"/>
      <protection/>
    </xf>
    <xf numFmtId="2" fontId="3" fillId="33" borderId="11" xfId="58" applyNumberFormat="1" applyFont="1" applyFill="1" applyBorder="1" applyAlignment="1">
      <alignment horizontal="center" vertical="center" wrapText="1"/>
      <protection/>
    </xf>
    <xf numFmtId="166" fontId="42" fillId="0" borderId="39" xfId="0" applyNumberFormat="1" applyFont="1" applyBorder="1" applyAlignment="1">
      <alignment horizontal="center"/>
    </xf>
    <xf numFmtId="0" fontId="42" fillId="0" borderId="39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" fillId="0" borderId="37" xfId="57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0" fontId="3" fillId="33" borderId="13" xfId="58" applyFont="1" applyFill="1" applyBorder="1" applyAlignment="1">
      <alignment horizontal="center" vertical="center" wrapText="1"/>
      <protection/>
    </xf>
    <xf numFmtId="165" fontId="42" fillId="0" borderId="39" xfId="0" applyNumberFormat="1" applyFont="1" applyBorder="1" applyAlignment="1">
      <alignment horizontal="center"/>
    </xf>
    <xf numFmtId="165" fontId="42" fillId="0" borderId="40" xfId="0" applyNumberFormat="1" applyFont="1" applyBorder="1" applyAlignment="1">
      <alignment horizontal="center"/>
    </xf>
    <xf numFmtId="2" fontId="42" fillId="0" borderId="41" xfId="0" applyNumberFormat="1" applyFont="1" applyBorder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0" fontId="43" fillId="33" borderId="0" xfId="0" applyFont="1" applyFill="1" applyAlignment="1">
      <alignment horizontal="left" vertical="center"/>
    </xf>
    <xf numFmtId="3" fontId="43" fillId="33" borderId="0" xfId="0" applyNumberFormat="1" applyFont="1" applyFill="1" applyAlignment="1">
      <alignment horizontal="center" vertical="center"/>
    </xf>
    <xf numFmtId="4" fontId="43" fillId="33" borderId="0" xfId="0" applyNumberFormat="1" applyFont="1" applyFill="1" applyAlignment="1">
      <alignment horizontal="center" vertical="center"/>
    </xf>
    <xf numFmtId="17" fontId="43" fillId="33" borderId="0" xfId="0" applyNumberFormat="1" applyFont="1" applyFill="1" applyAlignment="1" quotePrefix="1">
      <alignment horizontal="center" vertical="center"/>
    </xf>
    <xf numFmtId="0" fontId="43" fillId="33" borderId="0" xfId="0" applyFont="1" applyFill="1" applyAlignment="1">
      <alignment horizontal="center" vertical="center"/>
    </xf>
    <xf numFmtId="3" fontId="42" fillId="0" borderId="0" xfId="0" applyNumberFormat="1" applyFont="1" applyAlignment="1">
      <alignment/>
    </xf>
    <xf numFmtId="0" fontId="42" fillId="0" borderId="0" xfId="42" applyNumberFormat="1" applyFont="1" applyAlignment="1">
      <alignment horizontal="center" vertical="center"/>
    </xf>
    <xf numFmtId="1" fontId="43" fillId="33" borderId="0" xfId="0" applyNumberFormat="1" applyFont="1" applyFill="1" applyAlignment="1">
      <alignment horizontal="center" vertical="center"/>
    </xf>
    <xf numFmtId="175" fontId="42" fillId="0" borderId="0" xfId="0" applyNumberFormat="1" applyFont="1" applyAlignment="1">
      <alignment/>
    </xf>
    <xf numFmtId="0" fontId="44" fillId="0" borderId="11" xfId="56" applyFont="1" applyBorder="1" applyAlignment="1">
      <alignment horizontal="center" vertical="center"/>
      <protection/>
    </xf>
    <xf numFmtId="10" fontId="44" fillId="0" borderId="11" xfId="67" applyNumberFormat="1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3" fontId="42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0" fontId="44" fillId="0" borderId="31" xfId="56" applyFont="1" applyBorder="1" applyAlignment="1">
      <alignment horizontal="center" vertical="center"/>
      <protection/>
    </xf>
    <xf numFmtId="0" fontId="44" fillId="0" borderId="14" xfId="56" applyFont="1" applyBorder="1" applyAlignment="1">
      <alignment horizontal="center" vertical="center"/>
      <protection/>
    </xf>
    <xf numFmtId="2" fontId="44" fillId="0" borderId="15" xfId="56" applyNumberFormat="1" applyFont="1" applyBorder="1" applyAlignment="1">
      <alignment horizontal="center" vertical="center"/>
      <protection/>
    </xf>
    <xf numFmtId="10" fontId="44" fillId="0" borderId="15" xfId="67" applyNumberFormat="1" applyFont="1" applyBorder="1" applyAlignment="1">
      <alignment horizontal="center" vertical="center"/>
    </xf>
    <xf numFmtId="2" fontId="42" fillId="0" borderId="15" xfId="0" applyNumberFormat="1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2" fontId="42" fillId="0" borderId="11" xfId="0" applyNumberFormat="1" applyFont="1" applyBorder="1" applyAlignment="1">
      <alignment horizontal="center"/>
    </xf>
    <xf numFmtId="175" fontId="42" fillId="0" borderId="12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 horizontal="center" vertical="center"/>
    </xf>
    <xf numFmtId="166" fontId="42" fillId="0" borderId="0" xfId="0" applyNumberFormat="1" applyFont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42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0" fontId="43" fillId="0" borderId="3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4" fillId="0" borderId="31" xfId="56" applyFont="1" applyBorder="1" applyAlignment="1">
      <alignment horizontal="center" vertical="center"/>
      <protection/>
    </xf>
    <xf numFmtId="0" fontId="44" fillId="0" borderId="11" xfId="56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2" fillId="0" borderId="42" xfId="0" applyFont="1" applyBorder="1" applyAlignment="1">
      <alignment/>
    </xf>
    <xf numFmtId="166" fontId="42" fillId="0" borderId="0" xfId="0" applyNumberFormat="1" applyFont="1" applyAlignment="1">
      <alignment/>
    </xf>
    <xf numFmtId="165" fontId="42" fillId="0" borderId="39" xfId="0" applyNumberFormat="1" applyFont="1" applyBorder="1" applyAlignment="1">
      <alignment horizontal="center" vertical="center"/>
    </xf>
    <xf numFmtId="0" fontId="42" fillId="0" borderId="43" xfId="0" applyFont="1" applyBorder="1" applyAlignment="1">
      <alignment horizontal="right" vertical="center" wrapText="1"/>
    </xf>
    <xf numFmtId="0" fontId="42" fillId="0" borderId="32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2" fontId="0" fillId="0" borderId="38" xfId="66" applyNumberFormat="1" applyFont="1" applyBorder="1" applyAlignment="1">
      <alignment horizontal="center"/>
    </xf>
    <xf numFmtId="2" fontId="0" fillId="0" borderId="37" xfId="66" applyNumberFormat="1" applyFont="1" applyBorder="1" applyAlignment="1">
      <alignment horizontal="center"/>
    </xf>
    <xf numFmtId="0" fontId="43" fillId="0" borderId="0" xfId="0" applyFont="1" applyAlignment="1">
      <alignment horizontal="right"/>
    </xf>
    <xf numFmtId="0" fontId="4" fillId="0" borderId="31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/>
      <protection/>
    </xf>
    <xf numFmtId="0" fontId="4" fillId="0" borderId="15" xfId="59" applyFont="1" applyFill="1" applyBorder="1" applyAlignment="1">
      <alignment horizontal="center" vertical="center"/>
      <protection/>
    </xf>
    <xf numFmtId="0" fontId="45" fillId="0" borderId="11" xfId="56" applyFont="1" applyFill="1" applyBorder="1" applyAlignment="1">
      <alignment horizontal="center" vertical="center"/>
      <protection/>
    </xf>
    <xf numFmtId="2" fontId="45" fillId="0" borderId="11" xfId="56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1" xfId="61" applyFont="1" applyFill="1" applyBorder="1" applyAlignment="1">
      <alignment horizontal="center" wrapText="1"/>
      <protection/>
    </xf>
    <xf numFmtId="0" fontId="5" fillId="0" borderId="26" xfId="61" applyFont="1" applyFill="1" applyBorder="1" applyAlignment="1">
      <alignment horizontal="center" wrapText="1"/>
      <protection/>
    </xf>
    <xf numFmtId="0" fontId="43" fillId="33" borderId="0" xfId="0" applyFont="1" applyFill="1" applyAlignment="1">
      <alignment horizontal="center"/>
    </xf>
    <xf numFmtId="0" fontId="42" fillId="0" borderId="12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4" fillId="0" borderId="31" xfId="56" applyFont="1" applyBorder="1" applyAlignment="1">
      <alignment horizontal="center" vertical="center"/>
      <protection/>
    </xf>
    <xf numFmtId="0" fontId="45" fillId="0" borderId="11" xfId="56" applyFont="1" applyFill="1" applyBorder="1" applyAlignment="1">
      <alignment horizontal="center" vertical="center"/>
      <protection/>
    </xf>
    <xf numFmtId="0" fontId="44" fillId="0" borderId="11" xfId="56" applyFont="1" applyBorder="1" applyAlignment="1">
      <alignment horizontal="center" vertical="center"/>
      <protection/>
    </xf>
    <xf numFmtId="37" fontId="0" fillId="0" borderId="11" xfId="42" applyNumberFormat="1" applyFont="1" applyBorder="1" applyAlignment="1">
      <alignment horizontal="center"/>
    </xf>
    <xf numFmtId="37" fontId="0" fillId="0" borderId="26" xfId="42" applyNumberFormat="1" applyFont="1" applyBorder="1" applyAlignment="1">
      <alignment horizontal="center"/>
    </xf>
    <xf numFmtId="37" fontId="0" fillId="0" borderId="11" xfId="0" applyNumberFormat="1" applyBorder="1" applyAlignment="1">
      <alignment horizontal="center"/>
    </xf>
    <xf numFmtId="37" fontId="0" fillId="0" borderId="26" xfId="0" applyNumberFormat="1" applyBorder="1" applyAlignment="1">
      <alignment horizontal="center"/>
    </xf>
    <xf numFmtId="2" fontId="0" fillId="0" borderId="11" xfId="66" applyNumberFormat="1" applyFont="1" applyBorder="1" applyAlignment="1">
      <alignment horizontal="center"/>
    </xf>
    <xf numFmtId="2" fontId="0" fillId="0" borderId="12" xfId="66" applyNumberFormat="1" applyFont="1" applyBorder="1" applyAlignment="1">
      <alignment horizontal="center"/>
    </xf>
    <xf numFmtId="2" fontId="0" fillId="0" borderId="27" xfId="66" applyNumberFormat="1" applyFont="1" applyBorder="1" applyAlignment="1">
      <alignment horizontal="center"/>
    </xf>
    <xf numFmtId="37" fontId="5" fillId="33" borderId="11" xfId="42" applyNumberFormat="1" applyFont="1" applyFill="1" applyBorder="1" applyAlignment="1">
      <alignment horizontal="center" wrapText="1"/>
    </xf>
    <xf numFmtId="3" fontId="5" fillId="33" borderId="11" xfId="42" applyNumberFormat="1" applyFont="1" applyFill="1" applyBorder="1" applyAlignment="1">
      <alignment horizontal="center" vertical="center" wrapText="1"/>
    </xf>
    <xf numFmtId="37" fontId="5" fillId="33" borderId="26" xfId="42" applyNumberFormat="1" applyFont="1" applyFill="1" applyBorder="1" applyAlignment="1">
      <alignment horizontal="center" wrapText="1"/>
    </xf>
    <xf numFmtId="3" fontId="5" fillId="33" borderId="26" xfId="42" applyNumberFormat="1" applyFont="1" applyFill="1" applyBorder="1" applyAlignment="1">
      <alignment horizontal="center" vertical="center" wrapText="1"/>
    </xf>
    <xf numFmtId="37" fontId="5" fillId="33" borderId="11" xfId="42" applyNumberFormat="1" applyFont="1" applyFill="1" applyBorder="1" applyAlignment="1">
      <alignment horizontal="center" wrapText="1"/>
    </xf>
    <xf numFmtId="37" fontId="5" fillId="33" borderId="15" xfId="42" applyNumberFormat="1" applyFont="1" applyFill="1" applyBorder="1" applyAlignment="1">
      <alignment horizontal="center" wrapText="1"/>
    </xf>
    <xf numFmtId="0" fontId="5" fillId="33" borderId="31" xfId="61" applyFont="1" applyFill="1" applyBorder="1" applyAlignment="1">
      <alignment wrapText="1"/>
      <protection/>
    </xf>
    <xf numFmtId="0" fontId="5" fillId="33" borderId="11" xfId="61" applyFont="1" applyFill="1" applyBorder="1" applyAlignment="1">
      <alignment wrapText="1"/>
      <protection/>
    </xf>
    <xf numFmtId="0" fontId="5" fillId="33" borderId="11" xfId="61" applyFont="1" applyFill="1" applyBorder="1" applyAlignment="1">
      <alignment horizontal="center" wrapText="1"/>
      <protection/>
    </xf>
    <xf numFmtId="0" fontId="5" fillId="33" borderId="14" xfId="61" applyFont="1" applyFill="1" applyBorder="1" applyAlignment="1">
      <alignment wrapText="1"/>
      <protection/>
    </xf>
    <xf numFmtId="0" fontId="5" fillId="33" borderId="15" xfId="61" applyFont="1" applyFill="1" applyBorder="1" applyAlignment="1">
      <alignment wrapText="1"/>
      <protection/>
    </xf>
    <xf numFmtId="0" fontId="5" fillId="33" borderId="26" xfId="61" applyFont="1" applyFill="1" applyBorder="1" applyAlignment="1">
      <alignment horizontal="center" wrapText="1"/>
      <protection/>
    </xf>
    <xf numFmtId="0" fontId="6" fillId="0" borderId="31" xfId="61" applyFont="1" applyFill="1" applyBorder="1" applyAlignment="1">
      <alignment horizontal="center"/>
      <protection/>
    </xf>
    <xf numFmtId="0" fontId="6" fillId="0" borderId="11" xfId="61" applyFont="1" applyFill="1" applyBorder="1" applyAlignment="1">
      <alignment horizontal="center"/>
      <protection/>
    </xf>
    <xf numFmtId="0" fontId="46" fillId="0" borderId="11" xfId="0" applyFont="1" applyFill="1" applyBorder="1" applyAlignment="1">
      <alignment horizontal="center" vertical="center"/>
    </xf>
    <xf numFmtId="37" fontId="0" fillId="0" borderId="29" xfId="42" applyNumberFormat="1" applyFont="1" applyBorder="1" applyAlignment="1">
      <alignment horizontal="center" vertical="center"/>
    </xf>
    <xf numFmtId="37" fontId="0" fillId="0" borderId="15" xfId="0" applyNumberFormat="1" applyBorder="1" applyAlignment="1">
      <alignment horizontal="center" vertical="center"/>
    </xf>
    <xf numFmtId="37" fontId="0" fillId="0" borderId="28" xfId="42" applyNumberFormat="1" applyFont="1" applyBorder="1" applyAlignment="1">
      <alignment horizontal="center" vertical="center"/>
    </xf>
    <xf numFmtId="37" fontId="0" fillId="0" borderId="30" xfId="42" applyNumberFormat="1" applyFont="1" applyBorder="1" applyAlignment="1">
      <alignment horizontal="center" vertical="center"/>
    </xf>
    <xf numFmtId="37" fontId="0" fillId="0" borderId="22" xfId="0" applyNumberFormat="1" applyFont="1" applyBorder="1" applyAlignment="1">
      <alignment horizontal="center"/>
    </xf>
    <xf numFmtId="37" fontId="0" fillId="0" borderId="13" xfId="0" applyNumberFormat="1" applyBorder="1" applyAlignment="1">
      <alignment horizontal="center" vertical="center"/>
    </xf>
    <xf numFmtId="37" fontId="0" fillId="0" borderId="16" xfId="0" applyNumberFormat="1" applyBorder="1" applyAlignment="1">
      <alignment horizontal="center"/>
    </xf>
    <xf numFmtId="37" fontId="0" fillId="0" borderId="21" xfId="0" applyNumberFormat="1" applyBorder="1" applyAlignment="1">
      <alignment horizontal="center"/>
    </xf>
    <xf numFmtId="169" fontId="42" fillId="0" borderId="0" xfId="0" applyNumberFormat="1" applyFont="1" applyAlignment="1">
      <alignment horizontal="center"/>
    </xf>
    <xf numFmtId="185" fontId="42" fillId="0" borderId="0" xfId="42" applyNumberFormat="1" applyFont="1" applyAlignment="1">
      <alignment/>
    </xf>
    <xf numFmtId="0" fontId="5" fillId="34" borderId="45" xfId="60" applyFont="1" applyFill="1" applyBorder="1" applyAlignment="1">
      <alignment horizontal="center"/>
      <protection/>
    </xf>
    <xf numFmtId="0" fontId="5" fillId="0" borderId="46" xfId="60" applyFont="1" applyFill="1" applyBorder="1" applyAlignment="1">
      <alignment wrapText="1"/>
      <protection/>
    </xf>
    <xf numFmtId="0" fontId="5" fillId="0" borderId="46" xfId="60" applyFont="1" applyFill="1" applyBorder="1" applyAlignment="1">
      <alignment horizontal="right" wrapText="1"/>
      <protection/>
    </xf>
    <xf numFmtId="0" fontId="2" fillId="0" borderId="0" xfId="60">
      <alignment/>
      <protection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/>
    </xf>
    <xf numFmtId="4" fontId="42" fillId="0" borderId="48" xfId="0" applyNumberFormat="1" applyFont="1" applyBorder="1" applyAlignment="1">
      <alignment horizontal="center"/>
    </xf>
    <xf numFmtId="3" fontId="42" fillId="0" borderId="48" xfId="0" applyNumberFormat="1" applyFont="1" applyBorder="1" applyAlignment="1">
      <alignment horizontal="center" vertical="center"/>
    </xf>
    <xf numFmtId="2" fontId="42" fillId="0" borderId="49" xfId="0" applyNumberFormat="1" applyFont="1" applyBorder="1" applyAlignment="1">
      <alignment horizontal="center"/>
    </xf>
    <xf numFmtId="165" fontId="42" fillId="0" borderId="0" xfId="0" applyNumberFormat="1" applyFont="1" applyAlignment="1">
      <alignment/>
    </xf>
    <xf numFmtId="0" fontId="43" fillId="0" borderId="36" xfId="0" applyFont="1" applyBorder="1" applyAlignment="1">
      <alignment horizontal="center" wrapText="1"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50" xfId="0" applyFont="1" applyBorder="1" applyAlignment="1">
      <alignment horizontal="center" wrapText="1"/>
    </xf>
    <xf numFmtId="0" fontId="43" fillId="0" borderId="51" xfId="0" applyFont="1" applyBorder="1" applyAlignment="1">
      <alignment horizontal="center"/>
    </xf>
    <xf numFmtId="0" fontId="43" fillId="0" borderId="52" xfId="0" applyFont="1" applyBorder="1" applyAlignment="1">
      <alignment horizontal="center"/>
    </xf>
    <xf numFmtId="0" fontId="4" fillId="0" borderId="15" xfId="62" applyFont="1" applyFill="1" applyBorder="1" applyAlignment="1">
      <alignment horizontal="center"/>
      <protection/>
    </xf>
    <xf numFmtId="0" fontId="42" fillId="0" borderId="18" xfId="0" applyFont="1" applyBorder="1" applyAlignment="1">
      <alignment horizontal="center"/>
    </xf>
    <xf numFmtId="0" fontId="3" fillId="0" borderId="0" xfId="63" applyFont="1" applyFill="1" applyBorder="1" applyAlignment="1">
      <alignment wrapText="1"/>
      <protection/>
    </xf>
    <xf numFmtId="0" fontId="43" fillId="0" borderId="43" xfId="0" applyFont="1" applyBorder="1" applyAlignment="1">
      <alignment horizontal="right"/>
    </xf>
    <xf numFmtId="0" fontId="43" fillId="0" borderId="53" xfId="0" applyFont="1" applyBorder="1" applyAlignment="1">
      <alignment horizontal="right"/>
    </xf>
    <xf numFmtId="0" fontId="4" fillId="0" borderId="36" xfId="62" applyFont="1" applyFill="1" applyBorder="1" applyAlignment="1">
      <alignment horizontal="center" vertical="top" wrapText="1"/>
      <protection/>
    </xf>
    <xf numFmtId="0" fontId="4" fillId="0" borderId="29" xfId="62" applyFont="1" applyFill="1" applyBorder="1" applyAlignment="1">
      <alignment horizontal="center" vertical="top" wrapText="1"/>
      <protection/>
    </xf>
    <xf numFmtId="0" fontId="4" fillId="0" borderId="30" xfId="62" applyFont="1" applyFill="1" applyBorder="1" applyAlignment="1">
      <alignment horizontal="center" vertical="top" wrapText="1"/>
      <protection/>
    </xf>
    <xf numFmtId="3" fontId="42" fillId="0" borderId="53" xfId="0" applyNumberFormat="1" applyFont="1" applyBorder="1" applyAlignment="1">
      <alignment horizontal="center"/>
    </xf>
    <xf numFmtId="3" fontId="42" fillId="0" borderId="41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3" fillId="0" borderId="44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43" xfId="0" applyFont="1" applyBorder="1" applyAlignment="1">
      <alignment horizontal="center" wrapText="1"/>
    </xf>
    <xf numFmtId="0" fontId="43" fillId="0" borderId="53" xfId="0" applyFont="1" applyBorder="1" applyAlignment="1">
      <alignment horizontal="center" wrapText="1"/>
    </xf>
    <xf numFmtId="0" fontId="43" fillId="0" borderId="41" xfId="0" applyFont="1" applyBorder="1" applyAlignment="1">
      <alignment horizontal="center" wrapText="1"/>
    </xf>
    <xf numFmtId="0" fontId="43" fillId="0" borderId="0" xfId="0" applyFont="1" applyAlignment="1">
      <alignment horizontal="right"/>
    </xf>
    <xf numFmtId="0" fontId="42" fillId="0" borderId="36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" fillId="0" borderId="43" xfId="63" applyFont="1" applyFill="1" applyBorder="1" applyAlignment="1">
      <alignment horizontal="center" vertical="center" wrapText="1"/>
      <protection/>
    </xf>
    <xf numFmtId="0" fontId="4" fillId="0" borderId="53" xfId="63" applyFont="1" applyFill="1" applyBorder="1" applyAlignment="1">
      <alignment horizontal="center" vertical="center" wrapText="1"/>
      <protection/>
    </xf>
    <xf numFmtId="0" fontId="4" fillId="0" borderId="41" xfId="63" applyFont="1" applyFill="1" applyBorder="1" applyAlignment="1">
      <alignment horizontal="center" vertical="center" wrapText="1"/>
      <protection/>
    </xf>
    <xf numFmtId="0" fontId="43" fillId="0" borderId="44" xfId="0" applyFont="1" applyBorder="1" applyAlignment="1">
      <alignment horizontal="center"/>
    </xf>
    <xf numFmtId="0" fontId="43" fillId="0" borderId="54" xfId="0" applyFont="1" applyBorder="1" applyAlignment="1">
      <alignment horizontal="center"/>
    </xf>
    <xf numFmtId="0" fontId="43" fillId="0" borderId="55" xfId="0" applyFont="1" applyBorder="1" applyAlignment="1">
      <alignment horizontal="center"/>
    </xf>
    <xf numFmtId="0" fontId="46" fillId="0" borderId="36" xfId="0" applyFont="1" applyBorder="1" applyAlignment="1">
      <alignment horizontal="right" indent="1"/>
    </xf>
    <xf numFmtId="0" fontId="46" fillId="0" borderId="29" xfId="0" applyFont="1" applyBorder="1" applyAlignment="1">
      <alignment horizontal="right" indent="1"/>
    </xf>
    <xf numFmtId="0" fontId="46" fillId="0" borderId="14" xfId="0" applyFont="1" applyBorder="1" applyAlignment="1">
      <alignment horizontal="right" indent="1"/>
    </xf>
    <xf numFmtId="0" fontId="46" fillId="0" borderId="15" xfId="0" applyFont="1" applyBorder="1" applyAlignment="1">
      <alignment horizontal="right" indent="1"/>
    </xf>
    <xf numFmtId="0" fontId="0" fillId="33" borderId="51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46" fillId="0" borderId="29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46" fillId="0" borderId="30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7" fillId="0" borderId="0" xfId="0" applyFont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70 Year Exposure VMT-EMS" xfId="57"/>
    <cellStyle name="Normal_70 Year Exposure VMT-EMS_1" xfId="58"/>
    <cellStyle name="Normal_Coleman - Market" xfId="59"/>
    <cellStyle name="Normal_Raw Data" xfId="60"/>
    <cellStyle name="Normal_Scalar Factors" xfId="61"/>
    <cellStyle name="Normal_Summary" xfId="62"/>
    <cellStyle name="Normal_Summary_1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3">
    <dxf>
      <font>
        <b/>
        <i val="0"/>
        <color theme="1"/>
      </font>
      <fill>
        <patternFill>
          <bgColor theme="9" tint="0.5999600291252136"/>
        </patternFill>
      </fill>
    </dxf>
    <dxf>
      <font>
        <b/>
        <i val="0"/>
        <color theme="1"/>
      </font>
      <fill>
        <patternFill>
          <bgColor theme="9" tint="0.5999600291252136"/>
        </patternFill>
      </fill>
    </dxf>
    <dxf>
      <font>
        <b/>
        <i val="0"/>
        <color theme="1"/>
      </font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7109375" style="1" bestFit="1" customWidth="1"/>
    <col min="2" max="2" width="5.421875" style="1" bestFit="1" customWidth="1"/>
    <col min="3" max="3" width="7.28125" style="1" bestFit="1" customWidth="1"/>
    <col min="4" max="4" width="4.8515625" style="1" bestFit="1" customWidth="1"/>
    <col min="5" max="5" width="12.421875" style="1" customWidth="1"/>
    <col min="6" max="6" width="6.8515625" style="1" bestFit="1" customWidth="1"/>
    <col min="7" max="7" width="9.57421875" style="1" bestFit="1" customWidth="1"/>
    <col min="8" max="8" width="11.57421875" style="1" bestFit="1" customWidth="1"/>
    <col min="9" max="9" width="11.57421875" style="3" bestFit="1" customWidth="1"/>
    <col min="10" max="10" width="12.8515625" style="3" bestFit="1" customWidth="1"/>
    <col min="11" max="11" width="14.00390625" style="3" bestFit="1" customWidth="1"/>
    <col min="12" max="12" width="11.7109375" style="3" bestFit="1" customWidth="1"/>
    <col min="13" max="13" width="11.57421875" style="3" bestFit="1" customWidth="1"/>
    <col min="14" max="14" width="12.00390625" style="3" bestFit="1" customWidth="1"/>
    <col min="15" max="15" width="11.57421875" style="3" bestFit="1" customWidth="1"/>
    <col min="16" max="16" width="11.57421875" style="1" bestFit="1" customWidth="1"/>
    <col min="17" max="17" width="11.8515625" style="1" bestFit="1" customWidth="1"/>
    <col min="18" max="18" width="11.57421875" style="1" bestFit="1" customWidth="1"/>
    <col min="19" max="19" width="18.7109375" style="1" bestFit="1" customWidth="1"/>
    <col min="20" max="16384" width="9.140625" style="1" customWidth="1"/>
  </cols>
  <sheetData>
    <row r="1" spans="1:19" ht="15">
      <c r="A1" s="246" t="s">
        <v>0</v>
      </c>
      <c r="B1" s="246" t="s">
        <v>1</v>
      </c>
      <c r="C1" s="246" t="s">
        <v>2</v>
      </c>
      <c r="D1" s="246" t="s">
        <v>3</v>
      </c>
      <c r="E1" s="246" t="s">
        <v>4</v>
      </c>
      <c r="F1" s="246" t="s">
        <v>5</v>
      </c>
      <c r="G1" s="246" t="s">
        <v>109</v>
      </c>
      <c r="H1" s="246" t="s">
        <v>110</v>
      </c>
      <c r="I1" s="246" t="s">
        <v>111</v>
      </c>
      <c r="J1" s="246" t="s">
        <v>49</v>
      </c>
      <c r="K1" s="246" t="s">
        <v>50</v>
      </c>
      <c r="L1" s="246" t="s">
        <v>67</v>
      </c>
      <c r="M1" s="246" t="s">
        <v>68</v>
      </c>
      <c r="N1" s="246" t="s">
        <v>51</v>
      </c>
      <c r="O1" s="246" t="s">
        <v>52</v>
      </c>
      <c r="P1" s="246" t="s">
        <v>74</v>
      </c>
      <c r="Q1" s="246" t="s">
        <v>157</v>
      </c>
      <c r="R1" s="246" t="s">
        <v>158</v>
      </c>
      <c r="S1" s="246" t="s">
        <v>159</v>
      </c>
    </row>
    <row r="2" spans="1:19" ht="15">
      <c r="A2" s="247" t="s">
        <v>152</v>
      </c>
      <c r="B2" s="248">
        <v>2014</v>
      </c>
      <c r="C2" s="247" t="s">
        <v>6</v>
      </c>
      <c r="D2" s="247" t="s">
        <v>7</v>
      </c>
      <c r="E2" s="247" t="s">
        <v>8</v>
      </c>
      <c r="F2" s="247" t="s">
        <v>153</v>
      </c>
      <c r="G2" s="248">
        <v>1.0000000000000002</v>
      </c>
      <c r="H2" s="248">
        <v>772.3133809308003</v>
      </c>
      <c r="I2" s="248">
        <v>30187.473585222648</v>
      </c>
      <c r="J2" s="248">
        <v>0.02844620104078216</v>
      </c>
      <c r="K2" s="248">
        <v>0.026170506123310636</v>
      </c>
      <c r="L2" s="248">
        <v>0.044075881827965506</v>
      </c>
      <c r="M2" s="248">
        <v>0</v>
      </c>
      <c r="N2" s="248">
        <v>0.6300662506888803</v>
      </c>
      <c r="O2" s="248">
        <v>0.21144985981395562</v>
      </c>
      <c r="P2" s="248">
        <v>0.0035671563140775068</v>
      </c>
      <c r="Q2" s="248">
        <v>0.03871625550553231</v>
      </c>
      <c r="R2" s="248">
        <v>373.6564673280883</v>
      </c>
      <c r="S2" s="248">
        <v>318.77934737478313</v>
      </c>
    </row>
    <row r="3" spans="1:19" ht="15">
      <c r="A3" s="247" t="s">
        <v>152</v>
      </c>
      <c r="B3" s="248">
        <v>2014</v>
      </c>
      <c r="C3" s="247" t="s">
        <v>6</v>
      </c>
      <c r="D3" s="247" t="s">
        <v>7</v>
      </c>
      <c r="E3" s="247" t="s">
        <v>9</v>
      </c>
      <c r="F3" s="247" t="s">
        <v>153</v>
      </c>
      <c r="G3" s="248">
        <v>1</v>
      </c>
      <c r="H3" s="248">
        <v>53.5196555</v>
      </c>
      <c r="I3" s="248">
        <v>1933.8648235658</v>
      </c>
      <c r="J3" s="248">
        <v>0.05131884481537422</v>
      </c>
      <c r="K3" s="248">
        <v>0.047213335372127276</v>
      </c>
      <c r="L3" s="248">
        <v>0.07093543938513108</v>
      </c>
      <c r="M3" s="248">
        <v>0</v>
      </c>
      <c r="N3" s="248">
        <v>0.7302957157289464</v>
      </c>
      <c r="O3" s="248">
        <v>0.29377183792230793</v>
      </c>
      <c r="P3" s="248">
        <v>0.0036091005847568155</v>
      </c>
      <c r="Q3" s="248">
        <v>0.062309693992447866</v>
      </c>
      <c r="R3" s="248">
        <v>378.05010556682106</v>
      </c>
      <c r="S3" s="248">
        <v>323.9440235394529</v>
      </c>
    </row>
    <row r="4" spans="1:19" ht="15">
      <c r="A4" s="247" t="s">
        <v>152</v>
      </c>
      <c r="B4" s="248">
        <v>2014</v>
      </c>
      <c r="C4" s="247" t="s">
        <v>6</v>
      </c>
      <c r="D4" s="247" t="s">
        <v>7</v>
      </c>
      <c r="E4" s="247" t="s">
        <v>10</v>
      </c>
      <c r="F4" s="247" t="s">
        <v>153</v>
      </c>
      <c r="G4" s="248">
        <v>0.9999999999999999</v>
      </c>
      <c r="H4" s="248">
        <v>46.50826049999999</v>
      </c>
      <c r="I4" s="248">
        <v>1950.1659109042</v>
      </c>
      <c r="J4" s="248">
        <v>0.0326443175498494</v>
      </c>
      <c r="K4" s="248">
        <v>0.03003277253804154</v>
      </c>
      <c r="L4" s="248">
        <v>0.048013861320442386</v>
      </c>
      <c r="M4" s="248">
        <v>0</v>
      </c>
      <c r="N4" s="248">
        <v>0.7178065474967052</v>
      </c>
      <c r="O4" s="248">
        <v>0.2313379944199744</v>
      </c>
      <c r="P4" s="248">
        <v>0.003570132335310146</v>
      </c>
      <c r="Q4" s="248">
        <v>0.0421753771361267</v>
      </c>
      <c r="R4" s="248">
        <v>373.968202942854</v>
      </c>
      <c r="S4" s="248">
        <v>328.13397229670375</v>
      </c>
    </row>
    <row r="5" spans="1:19" ht="15">
      <c r="A5" s="247" t="s">
        <v>152</v>
      </c>
      <c r="B5" s="248">
        <v>2014</v>
      </c>
      <c r="C5" s="247" t="s">
        <v>6</v>
      </c>
      <c r="D5" s="247" t="s">
        <v>7</v>
      </c>
      <c r="E5" s="247" t="s">
        <v>155</v>
      </c>
      <c r="F5" s="247" t="s">
        <v>153</v>
      </c>
      <c r="G5" s="248">
        <v>1</v>
      </c>
      <c r="H5" s="248">
        <v>9684.798352868731</v>
      </c>
      <c r="I5" s="248">
        <v>421194.9309246661</v>
      </c>
      <c r="J5" s="248">
        <v>0.0521211975818734</v>
      </c>
      <c r="K5" s="248">
        <v>0.047951503135139406</v>
      </c>
      <c r="L5" s="248">
        <v>0.26238739796723</v>
      </c>
      <c r="M5" s="248">
        <v>0</v>
      </c>
      <c r="N5" s="248">
        <v>4.146987711254459</v>
      </c>
      <c r="O5" s="248">
        <v>1.1742340252292869</v>
      </c>
      <c r="P5" s="248">
        <v>0.005004499486116829</v>
      </c>
      <c r="Q5" s="248">
        <v>0.23048109570166353</v>
      </c>
      <c r="R5" s="248">
        <v>524.2168968449861</v>
      </c>
      <c r="S5" s="248">
        <v>516.3536433923115</v>
      </c>
    </row>
    <row r="6" spans="1:19" ht="15">
      <c r="A6" s="247" t="s">
        <v>152</v>
      </c>
      <c r="B6" s="248">
        <v>2014</v>
      </c>
      <c r="C6" s="247" t="s">
        <v>6</v>
      </c>
      <c r="D6" s="247" t="s">
        <v>7</v>
      </c>
      <c r="E6" s="247" t="s">
        <v>156</v>
      </c>
      <c r="F6" s="247" t="s">
        <v>153</v>
      </c>
      <c r="G6" s="248">
        <v>1.0000000000000002</v>
      </c>
      <c r="H6" s="248">
        <v>2642.9020829920905</v>
      </c>
      <c r="I6" s="248">
        <v>113184.10565448142</v>
      </c>
      <c r="J6" s="248">
        <v>0.049814071788274725</v>
      </c>
      <c r="K6" s="248">
        <v>0.04582894668938307</v>
      </c>
      <c r="L6" s="248">
        <v>0.249963212202673</v>
      </c>
      <c r="M6" s="248">
        <v>0</v>
      </c>
      <c r="N6" s="248">
        <v>3.9879371783963538</v>
      </c>
      <c r="O6" s="248">
        <v>1.1205802761505848</v>
      </c>
      <c r="P6" s="248">
        <v>0.0050028940185378595</v>
      </c>
      <c r="Q6" s="248">
        <v>0.21956769225828024</v>
      </c>
      <c r="R6" s="248">
        <v>524.0487381131798</v>
      </c>
      <c r="S6" s="248">
        <v>516.188007041482</v>
      </c>
    </row>
    <row r="7" spans="1:19" ht="15">
      <c r="A7" s="247" t="s">
        <v>152</v>
      </c>
      <c r="B7" s="248">
        <v>2014</v>
      </c>
      <c r="C7" s="247" t="s">
        <v>6</v>
      </c>
      <c r="D7" s="247" t="s">
        <v>7</v>
      </c>
      <c r="E7" s="247" t="s">
        <v>13</v>
      </c>
      <c r="F7" s="247" t="s">
        <v>153</v>
      </c>
      <c r="G7" s="248">
        <v>1</v>
      </c>
      <c r="H7" s="248">
        <v>84.24806970012001</v>
      </c>
      <c r="I7" s="248">
        <v>3409.4715194051505</v>
      </c>
      <c r="J7" s="248">
        <v>0.03029895536794045</v>
      </c>
      <c r="K7" s="248">
        <v>0.02787503834285273</v>
      </c>
      <c r="L7" s="248">
        <v>0.04277966312315708</v>
      </c>
      <c r="M7" s="248">
        <v>0</v>
      </c>
      <c r="N7" s="248">
        <v>0.5216602882945968</v>
      </c>
      <c r="O7" s="248">
        <v>0.19791887979158074</v>
      </c>
      <c r="P7" s="248">
        <v>0.0036066480847704763</v>
      </c>
      <c r="Q7" s="248">
        <v>0.03757765657713007</v>
      </c>
      <c r="R7" s="248">
        <v>377.7931908314066</v>
      </c>
      <c r="S7" s="248">
        <v>348.1881922072609</v>
      </c>
    </row>
    <row r="8" spans="1:19" ht="15">
      <c r="A8" s="247" t="s">
        <v>152</v>
      </c>
      <c r="B8" s="248">
        <v>2014</v>
      </c>
      <c r="C8" s="247" t="s">
        <v>6</v>
      </c>
      <c r="D8" s="247" t="s">
        <v>7</v>
      </c>
      <c r="E8" s="247" t="s">
        <v>14</v>
      </c>
      <c r="F8" s="247" t="s">
        <v>153</v>
      </c>
      <c r="G8" s="248">
        <v>0.9999999999999999</v>
      </c>
      <c r="H8" s="248">
        <v>637.0985239302199</v>
      </c>
      <c r="I8" s="248">
        <v>8529.316426641028</v>
      </c>
      <c r="J8" s="248">
        <v>0.2118868696744885</v>
      </c>
      <c r="K8" s="248">
        <v>0.1949359207257241</v>
      </c>
      <c r="L8" s="248">
        <v>0.2800080123610868</v>
      </c>
      <c r="M8" s="248">
        <v>0</v>
      </c>
      <c r="N8" s="248">
        <v>8.034338553439905</v>
      </c>
      <c r="O8" s="248">
        <v>0.7556922116984499</v>
      </c>
      <c r="P8" s="248">
        <v>0.011510879029535152</v>
      </c>
      <c r="Q8" s="248">
        <v>0.24595904682301165</v>
      </c>
      <c r="R8" s="248">
        <v>1205.7544169667412</v>
      </c>
      <c r="S8" s="248">
        <v>1187.66810071224</v>
      </c>
    </row>
    <row r="9" spans="1:19" ht="15">
      <c r="A9" s="247" t="s">
        <v>152</v>
      </c>
      <c r="B9" s="248">
        <v>2014</v>
      </c>
      <c r="C9" s="247" t="s">
        <v>6</v>
      </c>
      <c r="D9" s="247" t="s">
        <v>7</v>
      </c>
      <c r="E9" s="247" t="s">
        <v>15</v>
      </c>
      <c r="F9" s="247" t="s">
        <v>153</v>
      </c>
      <c r="G9" s="248">
        <v>1.0000000000000002</v>
      </c>
      <c r="H9" s="248">
        <v>357.2388567784758</v>
      </c>
      <c r="I9" s="248">
        <v>28258.616863052</v>
      </c>
      <c r="J9" s="248">
        <v>0.1682195148026921</v>
      </c>
      <c r="K9" s="248">
        <v>0.1547619536184767</v>
      </c>
      <c r="L9" s="248">
        <v>0.3515878020920323</v>
      </c>
      <c r="M9" s="249"/>
      <c r="N9" s="248">
        <v>8.997470425051437</v>
      </c>
      <c r="O9" s="248">
        <v>1.1077305639453305</v>
      </c>
      <c r="P9" s="248">
        <v>0.014147001256577791</v>
      </c>
      <c r="Q9" s="248">
        <v>0.3088373396471872</v>
      </c>
      <c r="R9" s="248">
        <v>1482.841515043629</v>
      </c>
      <c r="S9" s="248">
        <v>1460.5988923179734</v>
      </c>
    </row>
    <row r="10" spans="1:19" ht="15">
      <c r="A10" s="247" t="s">
        <v>152</v>
      </c>
      <c r="B10" s="248">
        <v>2014</v>
      </c>
      <c r="C10" s="247" t="s">
        <v>6</v>
      </c>
      <c r="D10" s="247" t="s">
        <v>7</v>
      </c>
      <c r="E10" s="247" t="s">
        <v>16</v>
      </c>
      <c r="F10" s="247" t="s">
        <v>153</v>
      </c>
      <c r="G10" s="248">
        <v>1</v>
      </c>
      <c r="H10" s="248">
        <v>402.9846026691726</v>
      </c>
      <c r="I10" s="248">
        <v>15012.125640910483</v>
      </c>
      <c r="J10" s="248">
        <v>0.11305297288412872</v>
      </c>
      <c r="K10" s="248">
        <v>0.1040087350533984</v>
      </c>
      <c r="L10" s="248">
        <v>0.2425428899255919</v>
      </c>
      <c r="M10" s="249"/>
      <c r="N10" s="248">
        <v>10.505606964749163</v>
      </c>
      <c r="O10" s="248">
        <v>0.635574104041392</v>
      </c>
      <c r="P10" s="248">
        <v>0.012402271730162904</v>
      </c>
      <c r="Q10" s="248">
        <v>0.21305147797861507</v>
      </c>
      <c r="R10" s="248">
        <v>1299.9647818499081</v>
      </c>
      <c r="S10" s="248">
        <v>1280.4653101221604</v>
      </c>
    </row>
    <row r="11" spans="1:19" ht="15">
      <c r="A11" s="247" t="s">
        <v>152</v>
      </c>
      <c r="B11" s="248">
        <v>2014</v>
      </c>
      <c r="C11" s="247" t="s">
        <v>6</v>
      </c>
      <c r="D11" s="247" t="s">
        <v>7</v>
      </c>
      <c r="E11" s="247" t="s">
        <v>17</v>
      </c>
      <c r="F11" s="247" t="s">
        <v>153</v>
      </c>
      <c r="G11" s="248">
        <v>0.9999999999999994</v>
      </c>
      <c r="H11" s="248">
        <v>7000.923804261662</v>
      </c>
      <c r="I11" s="248">
        <v>368525.3050359529</v>
      </c>
      <c r="J11" s="248">
        <v>0.20338360668299033</v>
      </c>
      <c r="K11" s="248">
        <v>0.18711291814835115</v>
      </c>
      <c r="L11" s="248">
        <v>0.3871935001923353</v>
      </c>
      <c r="M11" s="249"/>
      <c r="N11" s="248">
        <v>6.698731133071476</v>
      </c>
      <c r="O11" s="248">
        <v>1.0586491222221457</v>
      </c>
      <c r="P11" s="248">
        <v>0.01143709237634358</v>
      </c>
      <c r="Q11" s="248">
        <v>0.34011364961058</v>
      </c>
      <c r="R11" s="248">
        <v>1198.7978992470798</v>
      </c>
      <c r="S11" s="248">
        <v>1180.8159307583728</v>
      </c>
    </row>
    <row r="12" spans="1:19" ht="15">
      <c r="A12" s="247" t="s">
        <v>152</v>
      </c>
      <c r="B12" s="248">
        <v>2014</v>
      </c>
      <c r="C12" s="247" t="s">
        <v>6</v>
      </c>
      <c r="D12" s="247" t="s">
        <v>7</v>
      </c>
      <c r="E12" s="247" t="s">
        <v>18</v>
      </c>
      <c r="F12" s="247" t="s">
        <v>153</v>
      </c>
      <c r="G12" s="248">
        <v>1.0000000000000004</v>
      </c>
      <c r="H12" s="248">
        <v>11001.98735586387</v>
      </c>
      <c r="I12" s="248">
        <v>1880640.4267885503</v>
      </c>
      <c r="J12" s="248">
        <v>0.15529055504961362</v>
      </c>
      <c r="K12" s="248">
        <v>0.1428673106456445</v>
      </c>
      <c r="L12" s="248">
        <v>0.367346931859886</v>
      </c>
      <c r="M12" s="249"/>
      <c r="N12" s="248">
        <v>7.940133168464461</v>
      </c>
      <c r="O12" s="248">
        <v>1.481881123203116</v>
      </c>
      <c r="P12" s="248">
        <v>0.01665652268380501</v>
      </c>
      <c r="Q12" s="248">
        <v>0.3226802764148989</v>
      </c>
      <c r="R12" s="248">
        <v>1745.8811859741622</v>
      </c>
      <c r="S12" s="248">
        <v>1719.6929681845495</v>
      </c>
    </row>
    <row r="13" spans="1:19" ht="15">
      <c r="A13" s="247" t="s">
        <v>152</v>
      </c>
      <c r="B13" s="248">
        <v>2014</v>
      </c>
      <c r="C13" s="247" t="s">
        <v>6</v>
      </c>
      <c r="D13" s="247" t="s">
        <v>7</v>
      </c>
      <c r="E13" s="247" t="s">
        <v>19</v>
      </c>
      <c r="F13" s="247" t="s">
        <v>153</v>
      </c>
      <c r="G13" s="248">
        <v>0.9999999999999999</v>
      </c>
      <c r="H13" s="248">
        <v>214.02731330000003</v>
      </c>
      <c r="I13" s="248">
        <v>32253.223413</v>
      </c>
      <c r="J13" s="248">
        <v>0.2358546440392674</v>
      </c>
      <c r="K13" s="248">
        <v>0.21698628508700643</v>
      </c>
      <c r="L13" s="248">
        <v>0.575468837791491</v>
      </c>
      <c r="M13" s="248">
        <v>0</v>
      </c>
      <c r="N13" s="248">
        <v>12.30457063866854</v>
      </c>
      <c r="O13" s="248">
        <v>2.212407809323304</v>
      </c>
      <c r="P13" s="248">
        <v>0.02369639460421636</v>
      </c>
      <c r="Q13" s="248">
        <v>0.5054918376087754</v>
      </c>
      <c r="R13" s="248">
        <v>2482.1762439255212</v>
      </c>
      <c r="S13" s="248">
        <v>2444.94360026664</v>
      </c>
    </row>
    <row r="14" spans="1:19" ht="15">
      <c r="A14" s="247" t="s">
        <v>152</v>
      </c>
      <c r="B14" s="248">
        <v>2014</v>
      </c>
      <c r="C14" s="247" t="s">
        <v>6</v>
      </c>
      <c r="D14" s="247" t="s">
        <v>20</v>
      </c>
      <c r="E14" s="247" t="s">
        <v>8</v>
      </c>
      <c r="F14" s="247" t="s">
        <v>153</v>
      </c>
      <c r="G14" s="248">
        <v>1</v>
      </c>
      <c r="H14" s="248">
        <v>262733.4351</v>
      </c>
      <c r="I14" s="248">
        <v>11121649.3650811</v>
      </c>
      <c r="J14" s="248">
        <v>0.0017300438303368454</v>
      </c>
      <c r="K14" s="248">
        <v>0.001571821709779397</v>
      </c>
      <c r="L14" s="248">
        <v>0.05546374388549547</v>
      </c>
      <c r="M14" s="248">
        <v>0.06031253241221088</v>
      </c>
      <c r="N14" s="248">
        <v>0.13468749675988853</v>
      </c>
      <c r="O14" s="248">
        <v>1.4208833805954288</v>
      </c>
      <c r="P14" s="248">
        <v>0.0033563601960727185</v>
      </c>
      <c r="Q14" s="248">
        <v>0.04070531472490243</v>
      </c>
      <c r="R14" s="248">
        <v>333.8537402902571</v>
      </c>
      <c r="S14" s="248">
        <v>291.8561759563015</v>
      </c>
    </row>
    <row r="15" spans="1:19" ht="15">
      <c r="A15" s="247" t="s">
        <v>152</v>
      </c>
      <c r="B15" s="248">
        <v>2014</v>
      </c>
      <c r="C15" s="247" t="s">
        <v>6</v>
      </c>
      <c r="D15" s="247" t="s">
        <v>20</v>
      </c>
      <c r="E15" s="247" t="s">
        <v>9</v>
      </c>
      <c r="F15" s="247" t="s">
        <v>153</v>
      </c>
      <c r="G15" s="248">
        <v>1</v>
      </c>
      <c r="H15" s="248">
        <v>40926.101310000005</v>
      </c>
      <c r="I15" s="248">
        <v>1617116.8459942508</v>
      </c>
      <c r="J15" s="248">
        <v>0.0040417386513180685</v>
      </c>
      <c r="K15" s="248">
        <v>0.003672940793236707</v>
      </c>
      <c r="L15" s="248">
        <v>0.13763072849767902</v>
      </c>
      <c r="M15" s="248">
        <v>0.17987808165115132</v>
      </c>
      <c r="N15" s="248">
        <v>0.362671384704936</v>
      </c>
      <c r="O15" s="248">
        <v>3.439722767985714</v>
      </c>
      <c r="P15" s="248">
        <v>0.0038960052137199733</v>
      </c>
      <c r="Q15" s="248">
        <v>0.10752428617754292</v>
      </c>
      <c r="R15" s="248">
        <v>384.5017248589215</v>
      </c>
      <c r="S15" s="248">
        <v>341.47331760107136</v>
      </c>
    </row>
    <row r="16" spans="1:19" ht="15">
      <c r="A16" s="247" t="s">
        <v>152</v>
      </c>
      <c r="B16" s="248">
        <v>2014</v>
      </c>
      <c r="C16" s="247" t="s">
        <v>6</v>
      </c>
      <c r="D16" s="247" t="s">
        <v>20</v>
      </c>
      <c r="E16" s="247" t="s">
        <v>10</v>
      </c>
      <c r="F16" s="247" t="s">
        <v>153</v>
      </c>
      <c r="G16" s="248">
        <v>1</v>
      </c>
      <c r="H16" s="248">
        <v>96972.48329999999</v>
      </c>
      <c r="I16" s="248">
        <v>4120543.4037066</v>
      </c>
      <c r="J16" s="248">
        <v>0.0020105637583382775</v>
      </c>
      <c r="K16" s="248">
        <v>0.0018211437836493376</v>
      </c>
      <c r="L16" s="248">
        <v>0.08122707220694964</v>
      </c>
      <c r="M16" s="248">
        <v>0.0987601039512568</v>
      </c>
      <c r="N16" s="248">
        <v>0.2640963008866458</v>
      </c>
      <c r="O16" s="248">
        <v>2.0805228016806656</v>
      </c>
      <c r="P16" s="248">
        <v>0.004580650452828361</v>
      </c>
      <c r="Q16" s="248">
        <v>0.060393263133286246</v>
      </c>
      <c r="R16" s="248">
        <v>455.39416387306767</v>
      </c>
      <c r="S16" s="248">
        <v>414.414537971914</v>
      </c>
    </row>
    <row r="17" spans="1:19" ht="15">
      <c r="A17" s="247" t="s">
        <v>152</v>
      </c>
      <c r="B17" s="248">
        <v>2014</v>
      </c>
      <c r="C17" s="247" t="s">
        <v>6</v>
      </c>
      <c r="D17" s="247" t="s">
        <v>20</v>
      </c>
      <c r="E17" s="247" t="s">
        <v>155</v>
      </c>
      <c r="F17" s="247" t="s">
        <v>153</v>
      </c>
      <c r="G17" s="248">
        <v>1.0000000000000002</v>
      </c>
      <c r="H17" s="248">
        <v>15937.950003000004</v>
      </c>
      <c r="I17" s="248">
        <v>688826.7044717001</v>
      </c>
      <c r="J17" s="248">
        <v>0.003395485443224607</v>
      </c>
      <c r="K17" s="248">
        <v>0.00312689507461907</v>
      </c>
      <c r="L17" s="248">
        <v>0.3008034135103752</v>
      </c>
      <c r="M17" s="248">
        <v>0.21222888430347933</v>
      </c>
      <c r="N17" s="248">
        <v>0.538245950607077</v>
      </c>
      <c r="O17" s="248">
        <v>3.494805968697553</v>
      </c>
      <c r="P17" s="248">
        <v>0.009738277602049372</v>
      </c>
      <c r="Q17" s="248">
        <v>0.2621295750190736</v>
      </c>
      <c r="R17" s="248">
        <v>969.2210345576278</v>
      </c>
      <c r="S17" s="248">
        <v>954.6827190392635</v>
      </c>
    </row>
    <row r="18" spans="1:19" ht="15">
      <c r="A18" s="247" t="s">
        <v>152</v>
      </c>
      <c r="B18" s="248">
        <v>2014</v>
      </c>
      <c r="C18" s="247" t="s">
        <v>6</v>
      </c>
      <c r="D18" s="247" t="s">
        <v>20</v>
      </c>
      <c r="E18" s="247" t="s">
        <v>156</v>
      </c>
      <c r="F18" s="247" t="s">
        <v>153</v>
      </c>
      <c r="G18" s="248">
        <v>1</v>
      </c>
      <c r="H18" s="248">
        <v>1630.4921397000005</v>
      </c>
      <c r="I18" s="248">
        <v>69749.1142816</v>
      </c>
      <c r="J18" s="248">
        <v>0.003222344064969897</v>
      </c>
      <c r="K18" s="248">
        <v>0.0029055420888801755</v>
      </c>
      <c r="L18" s="248">
        <v>0.24505408855495936</v>
      </c>
      <c r="M18" s="248">
        <v>0.2235277626182057</v>
      </c>
      <c r="N18" s="248">
        <v>0.48601731565945244</v>
      </c>
      <c r="O18" s="248">
        <v>3.3444748201663015</v>
      </c>
      <c r="P18" s="248">
        <v>0.009734257240875463</v>
      </c>
      <c r="Q18" s="248">
        <v>0.21066151624836163</v>
      </c>
      <c r="R18" s="248">
        <v>969.2210359328358</v>
      </c>
      <c r="S18" s="248">
        <v>954.6827203938433</v>
      </c>
    </row>
    <row r="19" spans="1:19" ht="15">
      <c r="A19" s="247" t="s">
        <v>152</v>
      </c>
      <c r="B19" s="248">
        <v>2014</v>
      </c>
      <c r="C19" s="247" t="s">
        <v>6</v>
      </c>
      <c r="D19" s="247" t="s">
        <v>20</v>
      </c>
      <c r="E19" s="247" t="s">
        <v>21</v>
      </c>
      <c r="F19" s="247" t="s">
        <v>153</v>
      </c>
      <c r="G19" s="248">
        <v>1</v>
      </c>
      <c r="H19" s="248">
        <v>16506.29187</v>
      </c>
      <c r="I19" s="248">
        <v>164700.2088651233</v>
      </c>
      <c r="J19" s="248">
        <v>0.0008552444090610022</v>
      </c>
      <c r="K19" s="248">
        <v>0.000683492879426955</v>
      </c>
      <c r="L19" s="248">
        <v>3.4764628245558207</v>
      </c>
      <c r="M19" s="248">
        <v>0.3854910903121762</v>
      </c>
      <c r="N19" s="248">
        <v>1.3272657756458703</v>
      </c>
      <c r="O19" s="248">
        <v>37.49612465192354</v>
      </c>
      <c r="P19" s="248">
        <v>0.0022325201850322547</v>
      </c>
      <c r="Q19" s="248">
        <v>3.1959768711428618</v>
      </c>
      <c r="R19" s="248">
        <v>154.35654332686795</v>
      </c>
      <c r="S19" s="248">
        <v>152.04119517696492</v>
      </c>
    </row>
    <row r="20" spans="1:19" ht="15">
      <c r="A20" s="247" t="s">
        <v>152</v>
      </c>
      <c r="B20" s="248">
        <v>2014</v>
      </c>
      <c r="C20" s="247" t="s">
        <v>6</v>
      </c>
      <c r="D20" s="247" t="s">
        <v>20</v>
      </c>
      <c r="E20" s="247" t="s">
        <v>13</v>
      </c>
      <c r="F20" s="247" t="s">
        <v>153</v>
      </c>
      <c r="G20" s="248">
        <v>1</v>
      </c>
      <c r="H20" s="248">
        <v>109064.69391799998</v>
      </c>
      <c r="I20" s="248">
        <v>4373438.203381789</v>
      </c>
      <c r="J20" s="248">
        <v>0.002131792604465451</v>
      </c>
      <c r="K20" s="248">
        <v>0.0019526753062869397</v>
      </c>
      <c r="L20" s="248">
        <v>0.10843614264507259</v>
      </c>
      <c r="M20" s="248">
        <v>0.10715706238912816</v>
      </c>
      <c r="N20" s="248">
        <v>0.40746758042769415</v>
      </c>
      <c r="O20" s="248">
        <v>2.743533226861275</v>
      </c>
      <c r="P20" s="248">
        <v>0.005795744208194509</v>
      </c>
      <c r="Q20" s="248">
        <v>0.0764631127552314</v>
      </c>
      <c r="R20" s="248">
        <v>576.0050990854946</v>
      </c>
      <c r="S20" s="248">
        <v>539.2886114862823</v>
      </c>
    </row>
    <row r="21" spans="1:19" ht="15">
      <c r="A21" s="247" t="s">
        <v>152</v>
      </c>
      <c r="B21" s="248">
        <v>2014</v>
      </c>
      <c r="C21" s="247" t="s">
        <v>6</v>
      </c>
      <c r="D21" s="247" t="s">
        <v>20</v>
      </c>
      <c r="E21" s="247" t="s">
        <v>14</v>
      </c>
      <c r="F21" s="247" t="s">
        <v>153</v>
      </c>
      <c r="G21" s="248">
        <v>1.0000000000000002</v>
      </c>
      <c r="H21" s="248">
        <v>2896.915991</v>
      </c>
      <c r="I21" s="248">
        <v>38773.8232987</v>
      </c>
      <c r="J21" s="248">
        <v>0.003465576647478105</v>
      </c>
      <c r="K21" s="248">
        <v>0.0031158235309495536</v>
      </c>
      <c r="L21" s="248">
        <v>0.32861775391826104</v>
      </c>
      <c r="M21" s="248">
        <v>0.020648199892395833</v>
      </c>
      <c r="N21" s="248">
        <v>1.154211752838474</v>
      </c>
      <c r="O21" s="248">
        <v>8.346726791316037</v>
      </c>
      <c r="P21" s="248">
        <v>0.006979477161933277</v>
      </c>
      <c r="Q21" s="248">
        <v>0.27917745940247607</v>
      </c>
      <c r="R21" s="248">
        <v>685.1322568140484</v>
      </c>
      <c r="S21" s="248">
        <v>674.8552729618377</v>
      </c>
    </row>
    <row r="22" spans="1:19" ht="15">
      <c r="A22" s="247" t="s">
        <v>152</v>
      </c>
      <c r="B22" s="248">
        <v>2014</v>
      </c>
      <c r="C22" s="247" t="s">
        <v>6</v>
      </c>
      <c r="D22" s="247" t="s">
        <v>20</v>
      </c>
      <c r="E22" s="247" t="s">
        <v>15</v>
      </c>
      <c r="F22" s="247" t="s">
        <v>153</v>
      </c>
      <c r="G22" s="248">
        <v>0.9999999999999999</v>
      </c>
      <c r="H22" s="248">
        <v>413.6645907999999</v>
      </c>
      <c r="I22" s="248">
        <v>23968.825496193003</v>
      </c>
      <c r="J22" s="248">
        <v>0.0011584670244068648</v>
      </c>
      <c r="K22" s="248">
        <v>0.0010621259616365344</v>
      </c>
      <c r="L22" s="248">
        <v>0.3365532370349185</v>
      </c>
      <c r="M22" s="248">
        <v>0.23268929437941102</v>
      </c>
      <c r="N22" s="248">
        <v>1.6917521474807948</v>
      </c>
      <c r="O22" s="248">
        <v>5.18153281935338</v>
      </c>
      <c r="P22" s="248">
        <v>0.006930068817047133</v>
      </c>
      <c r="Q22" s="248">
        <v>0.287509925267435</v>
      </c>
      <c r="R22" s="248">
        <v>685.1322630999852</v>
      </c>
      <c r="S22" s="248">
        <v>674.8552791534854</v>
      </c>
    </row>
    <row r="23" spans="1:19" ht="15">
      <c r="A23" s="247" t="s">
        <v>152</v>
      </c>
      <c r="B23" s="248">
        <v>2014</v>
      </c>
      <c r="C23" s="247" t="s">
        <v>6</v>
      </c>
      <c r="D23" s="247" t="s">
        <v>20</v>
      </c>
      <c r="E23" s="247" t="s">
        <v>16</v>
      </c>
      <c r="F23" s="247" t="s">
        <v>153</v>
      </c>
      <c r="G23" s="248">
        <v>0.9999999999999997</v>
      </c>
      <c r="H23" s="248">
        <v>105.01323210173996</v>
      </c>
      <c r="I23" s="248">
        <v>5332.4700326266</v>
      </c>
      <c r="J23" s="248">
        <v>0.012327947723148925</v>
      </c>
      <c r="K23" s="248">
        <v>0.010485060592543886</v>
      </c>
      <c r="L23" s="248">
        <v>2.5525599614941106</v>
      </c>
      <c r="M23" s="248">
        <v>0.23479010559235158</v>
      </c>
      <c r="N23" s="248">
        <v>2.5970360726634625</v>
      </c>
      <c r="O23" s="248">
        <v>37.75976030571037</v>
      </c>
      <c r="P23" s="248">
        <v>0.008076116728791194</v>
      </c>
      <c r="Q23" s="248">
        <v>2.360906317909025</v>
      </c>
      <c r="R23" s="248">
        <v>742.1238439469257</v>
      </c>
      <c r="S23" s="248">
        <v>730.9919862877218</v>
      </c>
    </row>
    <row r="24" spans="1:19" ht="15">
      <c r="A24" s="247" t="s">
        <v>152</v>
      </c>
      <c r="B24" s="248">
        <v>2014</v>
      </c>
      <c r="C24" s="247" t="s">
        <v>6</v>
      </c>
      <c r="D24" s="247" t="s">
        <v>20</v>
      </c>
      <c r="E24" s="247" t="s">
        <v>17</v>
      </c>
      <c r="F24" s="247" t="s">
        <v>153</v>
      </c>
      <c r="G24" s="248">
        <v>0.9999999999999998</v>
      </c>
      <c r="H24" s="248">
        <v>1371.5308429999998</v>
      </c>
      <c r="I24" s="248">
        <v>69710.3962407</v>
      </c>
      <c r="J24" s="248">
        <v>0.0023892962290272945</v>
      </c>
      <c r="K24" s="248">
        <v>0.002087164843312993</v>
      </c>
      <c r="L24" s="248">
        <v>0.46306399822329064</v>
      </c>
      <c r="M24" s="248">
        <v>0.40343552155084783</v>
      </c>
      <c r="N24" s="248">
        <v>1.430120154377623</v>
      </c>
      <c r="O24" s="248">
        <v>7.888726162374337</v>
      </c>
      <c r="P24" s="248">
        <v>0.006976322035769114</v>
      </c>
      <c r="Q24" s="248">
        <v>0.4097734799415136</v>
      </c>
      <c r="R24" s="248">
        <v>685.1322667387115</v>
      </c>
      <c r="S24" s="248">
        <v>674.8552827376309</v>
      </c>
    </row>
    <row r="25" spans="1:19" ht="15">
      <c r="A25" s="247" t="s">
        <v>152</v>
      </c>
      <c r="B25" s="248">
        <v>2014</v>
      </c>
      <c r="C25" s="247" t="s">
        <v>6</v>
      </c>
      <c r="D25" s="247" t="s">
        <v>20</v>
      </c>
      <c r="E25" s="247" t="s">
        <v>18</v>
      </c>
      <c r="F25" s="247" t="s">
        <v>153</v>
      </c>
      <c r="G25" s="248">
        <v>0.9999999999999999</v>
      </c>
      <c r="H25" s="248">
        <v>73.019456824</v>
      </c>
      <c r="I25" s="248">
        <v>10432.13023555783</v>
      </c>
      <c r="J25" s="248">
        <v>0.0010141012881223375</v>
      </c>
      <c r="K25" s="248">
        <v>0.0008427926578829678</v>
      </c>
      <c r="L25" s="248">
        <v>1.1652116053413777</v>
      </c>
      <c r="M25" s="248">
        <v>0.20341394229814705</v>
      </c>
      <c r="N25" s="248">
        <v>5.83508821552693</v>
      </c>
      <c r="O25" s="248">
        <v>37.52519362999377</v>
      </c>
      <c r="P25" s="248">
        <v>0.0064183052183067095</v>
      </c>
      <c r="Q25" s="248">
        <v>1.0197233837461894</v>
      </c>
      <c r="R25" s="248">
        <v>580.5715102925216</v>
      </c>
      <c r="S25" s="248">
        <v>571.8629376381338</v>
      </c>
    </row>
    <row r="26" spans="1:19" ht="15">
      <c r="A26" s="247" t="s">
        <v>152</v>
      </c>
      <c r="B26" s="248">
        <v>2014</v>
      </c>
      <c r="C26" s="247" t="s">
        <v>6</v>
      </c>
      <c r="D26" s="247" t="s">
        <v>20</v>
      </c>
      <c r="E26" s="247" t="s">
        <v>19</v>
      </c>
      <c r="F26" s="247" t="s">
        <v>153</v>
      </c>
      <c r="G26" s="248">
        <v>1.0000000000000002</v>
      </c>
      <c r="H26" s="248">
        <v>86.82317622658002</v>
      </c>
      <c r="I26" s="248">
        <v>13083.969647221</v>
      </c>
      <c r="J26" s="248">
        <v>0.00152250360935859</v>
      </c>
      <c r="K26" s="248">
        <v>0.0013228716384740273</v>
      </c>
      <c r="L26" s="248">
        <v>1.052442807482859</v>
      </c>
      <c r="M26" s="248">
        <v>0.03839874373740308</v>
      </c>
      <c r="N26" s="248">
        <v>3.318542458448399</v>
      </c>
      <c r="O26" s="248">
        <v>11.926924938766932</v>
      </c>
      <c r="P26" s="248">
        <v>0.0076467890161359235</v>
      </c>
      <c r="Q26" s="248">
        <v>0.966384991229724</v>
      </c>
      <c r="R26" s="248">
        <v>744.1909535042026</v>
      </c>
      <c r="S26" s="248">
        <v>733.0280892016394</v>
      </c>
    </row>
    <row r="27" spans="7:16" ht="12.75">
      <c r="G27" s="2"/>
      <c r="H27" s="2"/>
      <c r="I27" s="153"/>
      <c r="J27" s="57"/>
      <c r="K27" s="57"/>
      <c r="L27" s="57"/>
      <c r="M27" s="57"/>
      <c r="N27" s="57"/>
      <c r="O27" s="57"/>
      <c r="P27" s="57"/>
    </row>
    <row r="28" ht="12.75">
      <c r="L28" s="57"/>
    </row>
  </sheetData>
  <sheetProtection/>
  <printOptions/>
  <pageMargins left="0.2" right="0.2" top="0.17" bottom="0.17" header="0.17" footer="0.19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Q75" sqref="Q75"/>
    </sheetView>
  </sheetViews>
  <sheetFormatPr defaultColWidth="9.140625" defaultRowHeight="15"/>
  <cols>
    <col min="1" max="1" width="8.421875" style="1" customWidth="1"/>
    <col min="2" max="2" width="11.28125" style="1" customWidth="1"/>
    <col min="3" max="3" width="10.7109375" style="1" customWidth="1"/>
    <col min="4" max="7" width="9.8515625" style="1" customWidth="1"/>
    <col min="8" max="8" width="9.421875" style="1" bestFit="1" customWidth="1"/>
    <col min="9" max="9" width="7.7109375" style="1" bestFit="1" customWidth="1"/>
    <col min="10" max="10" width="8.421875" style="1" customWidth="1"/>
    <col min="11" max="11" width="9.57421875" style="1" customWidth="1"/>
    <col min="12" max="12" width="8.28125" style="1" bestFit="1" customWidth="1"/>
    <col min="13" max="13" width="8.421875" style="1" customWidth="1"/>
    <col min="14" max="14" width="8.8515625" style="1" bestFit="1" customWidth="1"/>
    <col min="15" max="15" width="10.7109375" style="1" bestFit="1" customWidth="1"/>
    <col min="16" max="16384" width="9.140625" style="1" customWidth="1"/>
  </cols>
  <sheetData>
    <row r="1" spans="1:14" ht="12.75">
      <c r="A1" s="256" t="s">
        <v>134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8"/>
    </row>
    <row r="2" spans="1:14" ht="17.25" customHeight="1" thickBot="1">
      <c r="A2" s="9" t="s">
        <v>3</v>
      </c>
      <c r="B2" s="10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  <c r="J2" s="10" t="s">
        <v>16</v>
      </c>
      <c r="K2" s="10" t="s">
        <v>17</v>
      </c>
      <c r="L2" s="10" t="s">
        <v>18</v>
      </c>
      <c r="M2" s="10" t="s">
        <v>19</v>
      </c>
      <c r="N2" s="11" t="s">
        <v>21</v>
      </c>
    </row>
    <row r="3" spans="1:14" ht="12.75">
      <c r="A3" s="12" t="s">
        <v>22</v>
      </c>
      <c r="B3" s="13">
        <f>'Raw Data'!H14</f>
        <v>262733.4351</v>
      </c>
      <c r="C3" s="14">
        <f>'Raw Data'!H15</f>
        <v>40926.101310000005</v>
      </c>
      <c r="D3" s="14">
        <f>'Raw Data'!H16</f>
        <v>96972.48329999999</v>
      </c>
      <c r="E3" s="14">
        <f>'Raw Data'!H17</f>
        <v>15937.950003000004</v>
      </c>
      <c r="F3" s="14">
        <f>'Raw Data'!H18</f>
        <v>1630.4921397000005</v>
      </c>
      <c r="G3" s="14">
        <f>'Raw Data'!H20</f>
        <v>109064.69391799998</v>
      </c>
      <c r="H3" s="14">
        <f>'Raw Data'!H21</f>
        <v>2896.915991</v>
      </c>
      <c r="I3" s="14">
        <f>'Raw Data'!H22</f>
        <v>413.6645907999999</v>
      </c>
      <c r="J3" s="14">
        <f>'Raw Data'!H23</f>
        <v>105.01323210173996</v>
      </c>
      <c r="K3" s="14">
        <f>'Raw Data'!H24</f>
        <v>1371.5308429999998</v>
      </c>
      <c r="L3" s="14">
        <f>'Raw Data'!H25</f>
        <v>73.019456824</v>
      </c>
      <c r="M3" s="14">
        <f>'Raw Data'!H26</f>
        <v>86.82317622658002</v>
      </c>
      <c r="N3" s="15">
        <f>'Raw Data'!H19</f>
        <v>16506.29187</v>
      </c>
    </row>
    <row r="4" spans="1:15" ht="12.75">
      <c r="A4" s="16" t="s">
        <v>7</v>
      </c>
      <c r="B4" s="17">
        <f>'Raw Data'!H2</f>
        <v>772.3133809308003</v>
      </c>
      <c r="C4" s="18">
        <f>'Raw Data'!H3</f>
        <v>53.5196555</v>
      </c>
      <c r="D4" s="18">
        <f>'Raw Data'!H4</f>
        <v>46.50826049999999</v>
      </c>
      <c r="E4" s="18">
        <f>'Raw Data'!H5</f>
        <v>9684.798352868731</v>
      </c>
      <c r="F4" s="18">
        <f>'Raw Data'!H6</f>
        <v>2642.9020829920905</v>
      </c>
      <c r="G4" s="18">
        <f>'Raw Data'!H7</f>
        <v>84.24806970012001</v>
      </c>
      <c r="H4" s="18">
        <f>'Raw Data'!H8</f>
        <v>637.0985239302199</v>
      </c>
      <c r="I4" s="18">
        <f>'Raw Data'!H9</f>
        <v>357.2388567784758</v>
      </c>
      <c r="J4" s="18">
        <f>'Raw Data'!H10</f>
        <v>402.9846026691726</v>
      </c>
      <c r="K4" s="18">
        <f>'Raw Data'!H11</f>
        <v>7000.923804261662</v>
      </c>
      <c r="L4" s="18">
        <f>'Raw Data'!H12</f>
        <v>11001.98735586387</v>
      </c>
      <c r="M4" s="18">
        <f>'Raw Data'!H13</f>
        <v>214.02731330000003</v>
      </c>
      <c r="N4" s="19">
        <v>0</v>
      </c>
      <c r="O4" s="245"/>
    </row>
    <row r="5" spans="1:14" ht="13.5" thickBot="1">
      <c r="A5" s="20" t="s">
        <v>23</v>
      </c>
      <c r="B5" s="21">
        <f>SUM(B3:B4)</f>
        <v>263505.7484809308</v>
      </c>
      <c r="C5" s="22">
        <f aca="true" t="shared" si="0" ref="C5:N5">SUM(C3:C4)</f>
        <v>40979.620965500006</v>
      </c>
      <c r="D5" s="22">
        <f t="shared" si="0"/>
        <v>97018.9915605</v>
      </c>
      <c r="E5" s="22">
        <f t="shared" si="0"/>
        <v>25622.748355868735</v>
      </c>
      <c r="F5" s="22">
        <f t="shared" si="0"/>
        <v>4273.394222692091</v>
      </c>
      <c r="G5" s="22">
        <f t="shared" si="0"/>
        <v>109148.94198770009</v>
      </c>
      <c r="H5" s="22">
        <f t="shared" si="0"/>
        <v>3534.01451493022</v>
      </c>
      <c r="I5" s="22">
        <f t="shared" si="0"/>
        <v>770.9034475784757</v>
      </c>
      <c r="J5" s="22">
        <f t="shared" si="0"/>
        <v>507.99783477091256</v>
      </c>
      <c r="K5" s="22">
        <f t="shared" si="0"/>
        <v>8372.454647261662</v>
      </c>
      <c r="L5" s="22">
        <f t="shared" si="0"/>
        <v>11075.00681268787</v>
      </c>
      <c r="M5" s="22">
        <f t="shared" si="0"/>
        <v>300.8504895265801</v>
      </c>
      <c r="N5" s="23">
        <f t="shared" si="0"/>
        <v>16506.29187</v>
      </c>
    </row>
    <row r="6" spans="1:14" ht="13.5" thickBot="1">
      <c r="A6" s="266" t="s">
        <v>24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71">
        <f>SUM(B5:N5)</f>
        <v>581616.9651899474</v>
      </c>
      <c r="N6" s="272"/>
    </row>
    <row r="7" ht="13.5" thickBot="1"/>
    <row r="8" spans="1:14" ht="12.75">
      <c r="A8" s="256" t="s">
        <v>135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8"/>
    </row>
    <row r="9" spans="1:14" ht="13.5" thickBot="1">
      <c r="A9" s="9" t="s">
        <v>3</v>
      </c>
      <c r="B9" s="10" t="s">
        <v>8</v>
      </c>
      <c r="C9" s="10" t="s">
        <v>9</v>
      </c>
      <c r="D9" s="10" t="s">
        <v>10</v>
      </c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  <c r="K9" s="10" t="s">
        <v>17</v>
      </c>
      <c r="L9" s="10" t="s">
        <v>18</v>
      </c>
      <c r="M9" s="10" t="s">
        <v>19</v>
      </c>
      <c r="N9" s="11" t="s">
        <v>21</v>
      </c>
    </row>
    <row r="10" spans="1:14" ht="12.75">
      <c r="A10" s="12" t="s">
        <v>22</v>
      </c>
      <c r="B10" s="24">
        <f>B3/B5</f>
        <v>0.9970690833676947</v>
      </c>
      <c r="C10" s="24">
        <f aca="true" t="shared" si="1" ref="C10:N10">C3/C5</f>
        <v>0.998693993398693</v>
      </c>
      <c r="D10" s="24">
        <f t="shared" si="1"/>
        <v>0.9995206272529539</v>
      </c>
      <c r="E10" s="24">
        <f t="shared" si="1"/>
        <v>0.6220234372067083</v>
      </c>
      <c r="F10" s="24">
        <f t="shared" si="1"/>
        <v>0.381544986194334</v>
      </c>
      <c r="G10" s="24">
        <f t="shared" si="1"/>
        <v>0.99922813663453</v>
      </c>
      <c r="H10" s="24">
        <f t="shared" si="1"/>
        <v>0.8197238519426965</v>
      </c>
      <c r="I10" s="24">
        <f t="shared" si="1"/>
        <v>0.5365971472813916</v>
      </c>
      <c r="J10" s="24">
        <f t="shared" si="1"/>
        <v>0.20671984192432016</v>
      </c>
      <c r="K10" s="24">
        <f t="shared" si="1"/>
        <v>0.1638146637734944</v>
      </c>
      <c r="L10" s="24">
        <f t="shared" si="1"/>
        <v>0.006593174890000668</v>
      </c>
      <c r="M10" s="24">
        <f t="shared" si="1"/>
        <v>0.28859243793555206</v>
      </c>
      <c r="N10" s="25">
        <f t="shared" si="1"/>
        <v>1</v>
      </c>
    </row>
    <row r="11" spans="1:14" ht="12.75">
      <c r="A11" s="16" t="s">
        <v>7</v>
      </c>
      <c r="B11" s="26">
        <f>B4/B5</f>
        <v>0.0029309166323052364</v>
      </c>
      <c r="C11" s="26">
        <f aca="true" t="shared" si="2" ref="C11:N11">C4/C5</f>
        <v>0.0013060066013069573</v>
      </c>
      <c r="D11" s="26">
        <f t="shared" si="2"/>
        <v>0.00047937274704610736</v>
      </c>
      <c r="E11" s="26">
        <f t="shared" si="2"/>
        <v>0.3779765627932917</v>
      </c>
      <c r="F11" s="26">
        <f t="shared" si="2"/>
        <v>0.618455013805666</v>
      </c>
      <c r="G11" s="26">
        <f t="shared" si="2"/>
        <v>0.000771863365470037</v>
      </c>
      <c r="H11" s="26">
        <f t="shared" si="2"/>
        <v>0.1802761480573035</v>
      </c>
      <c r="I11" s="26">
        <f t="shared" si="2"/>
        <v>0.46340285271860837</v>
      </c>
      <c r="J11" s="26">
        <f t="shared" si="2"/>
        <v>0.7932801580756799</v>
      </c>
      <c r="K11" s="26">
        <f t="shared" si="2"/>
        <v>0.8361853362265055</v>
      </c>
      <c r="L11" s="26">
        <f t="shared" si="2"/>
        <v>0.9934068251099993</v>
      </c>
      <c r="M11" s="26">
        <f t="shared" si="2"/>
        <v>0.7114075620644479</v>
      </c>
      <c r="N11" s="27">
        <f t="shared" si="2"/>
        <v>0</v>
      </c>
    </row>
    <row r="12" spans="1:14" ht="13.5" thickBot="1">
      <c r="A12" s="20" t="s">
        <v>23</v>
      </c>
      <c r="B12" s="28">
        <f aca="true" t="shared" si="3" ref="B12:N12">SUM(B10:B11)</f>
        <v>1</v>
      </c>
      <c r="C12" s="29">
        <f t="shared" si="3"/>
        <v>1</v>
      </c>
      <c r="D12" s="29">
        <f t="shared" si="3"/>
        <v>1</v>
      </c>
      <c r="E12" s="29">
        <f t="shared" si="3"/>
        <v>1</v>
      </c>
      <c r="F12" s="29">
        <f t="shared" si="3"/>
        <v>1</v>
      </c>
      <c r="G12" s="29">
        <f t="shared" si="3"/>
        <v>1</v>
      </c>
      <c r="H12" s="29">
        <f t="shared" si="3"/>
        <v>1</v>
      </c>
      <c r="I12" s="29">
        <f t="shared" si="3"/>
        <v>1</v>
      </c>
      <c r="J12" s="29">
        <f t="shared" si="3"/>
        <v>1</v>
      </c>
      <c r="K12" s="29">
        <f t="shared" si="3"/>
        <v>0.9999999999999999</v>
      </c>
      <c r="L12" s="29">
        <f t="shared" si="3"/>
        <v>1</v>
      </c>
      <c r="M12" s="29">
        <f t="shared" si="3"/>
        <v>1</v>
      </c>
      <c r="N12" s="30">
        <f t="shared" si="3"/>
        <v>1</v>
      </c>
    </row>
    <row r="13" ht="13.5" thickBot="1"/>
    <row r="14" spans="1:14" ht="12.75">
      <c r="A14" s="259" t="s">
        <v>133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8"/>
    </row>
    <row r="15" spans="1:14" ht="13.5" thickBot="1">
      <c r="A15" s="9" t="s">
        <v>3</v>
      </c>
      <c r="B15" s="10" t="s">
        <v>8</v>
      </c>
      <c r="C15" s="10" t="s">
        <v>9</v>
      </c>
      <c r="D15" s="10" t="s">
        <v>10</v>
      </c>
      <c r="E15" s="10" t="s">
        <v>11</v>
      </c>
      <c r="F15" s="10" t="s">
        <v>12</v>
      </c>
      <c r="G15" s="10" t="s">
        <v>13</v>
      </c>
      <c r="H15" s="10" t="s">
        <v>14</v>
      </c>
      <c r="I15" s="10" t="s">
        <v>15</v>
      </c>
      <c r="J15" s="10" t="s">
        <v>16</v>
      </c>
      <c r="K15" s="10" t="s">
        <v>17</v>
      </c>
      <c r="L15" s="10" t="s">
        <v>18</v>
      </c>
      <c r="M15" s="10" t="s">
        <v>19</v>
      </c>
      <c r="N15" s="11" t="s">
        <v>21</v>
      </c>
    </row>
    <row r="16" spans="1:14" ht="12.75">
      <c r="A16" s="12" t="s">
        <v>22</v>
      </c>
      <c r="B16" s="24">
        <f aca="true" t="shared" si="4" ref="B16:N16">B3/$M$6</f>
        <v>0.45172931813327555</v>
      </c>
      <c r="C16" s="24">
        <f t="shared" si="4"/>
        <v>0.070366072104919</v>
      </c>
      <c r="D16" s="24">
        <f t="shared" si="4"/>
        <v>0.16672911744988428</v>
      </c>
      <c r="E16" s="24">
        <f t="shared" si="4"/>
        <v>0.027402828591485306</v>
      </c>
      <c r="F16" s="24">
        <f t="shared" si="4"/>
        <v>0.0028033778883453067</v>
      </c>
      <c r="G16" s="24">
        <f t="shared" si="4"/>
        <v>0.18751979471984812</v>
      </c>
      <c r="H16" s="24">
        <f t="shared" si="4"/>
        <v>0.004980796923717503</v>
      </c>
      <c r="I16" s="24">
        <f t="shared" si="4"/>
        <v>0.0007112319886764363</v>
      </c>
      <c r="J16" s="24">
        <f t="shared" si="4"/>
        <v>0.00018055393564292646</v>
      </c>
      <c r="K16" s="24">
        <f t="shared" si="4"/>
        <v>0.002358134176075965</v>
      </c>
      <c r="L16" s="24">
        <f t="shared" si="4"/>
        <v>0.00012554561024565874</v>
      </c>
      <c r="M16" s="24">
        <f t="shared" si="4"/>
        <v>0.0001492789609364728</v>
      </c>
      <c r="N16" s="25">
        <f t="shared" si="4"/>
        <v>0.028380004122832442</v>
      </c>
    </row>
    <row r="17" spans="1:16" ht="12.75">
      <c r="A17" s="16" t="s">
        <v>7</v>
      </c>
      <c r="B17" s="26">
        <f aca="true" t="shared" si="5" ref="B17:N17">B4/$M$6</f>
        <v>0.001327872856457298</v>
      </c>
      <c r="C17" s="26">
        <f t="shared" si="5"/>
        <v>9.201873174817258E-05</v>
      </c>
      <c r="D17" s="26">
        <f t="shared" si="5"/>
        <v>7.996372747622843E-05</v>
      </c>
      <c r="E17" s="26">
        <f t="shared" si="5"/>
        <v>0.01665150594378866</v>
      </c>
      <c r="F17" s="26">
        <f t="shared" si="5"/>
        <v>0.004544059477578957</v>
      </c>
      <c r="G17" s="26">
        <f t="shared" si="5"/>
        <v>0.0001448514653842772</v>
      </c>
      <c r="H17" s="26">
        <f t="shared" si="5"/>
        <v>0.0010953919195292954</v>
      </c>
      <c r="I17" s="26">
        <f t="shared" si="5"/>
        <v>0.000614216706456984</v>
      </c>
      <c r="J17" s="26">
        <f t="shared" si="5"/>
        <v>0.0006928694085420356</v>
      </c>
      <c r="K17" s="26">
        <f t="shared" si="5"/>
        <v>0.012037000677886458</v>
      </c>
      <c r="L17" s="26">
        <f t="shared" si="5"/>
        <v>0.018916207769611372</v>
      </c>
      <c r="M17" s="26">
        <f t="shared" si="5"/>
        <v>0.0003679867096553862</v>
      </c>
      <c r="N17" s="27">
        <f t="shared" si="5"/>
        <v>0</v>
      </c>
      <c r="O17" s="31"/>
      <c r="P17" s="31"/>
    </row>
    <row r="18" spans="1:15" ht="13.5" thickBot="1">
      <c r="A18" s="20" t="s">
        <v>23</v>
      </c>
      <c r="B18" s="32">
        <f aca="true" t="shared" si="6" ref="B18:N18">SUM(B16:B17)</f>
        <v>0.45305719098973285</v>
      </c>
      <c r="C18" s="33">
        <f t="shared" si="6"/>
        <v>0.07045809083666718</v>
      </c>
      <c r="D18" s="33">
        <f t="shared" si="6"/>
        <v>0.1668090811773605</v>
      </c>
      <c r="E18" s="33">
        <f t="shared" si="6"/>
        <v>0.044054334535273965</v>
      </c>
      <c r="F18" s="33">
        <f t="shared" si="6"/>
        <v>0.007347437365924263</v>
      </c>
      <c r="G18" s="33">
        <f t="shared" si="6"/>
        <v>0.1876646461852324</v>
      </c>
      <c r="H18" s="33">
        <f t="shared" si="6"/>
        <v>0.0060761888432467985</v>
      </c>
      <c r="I18" s="33">
        <f t="shared" si="6"/>
        <v>0.0013254486951334203</v>
      </c>
      <c r="J18" s="33">
        <f t="shared" si="6"/>
        <v>0.0008734233441849621</v>
      </c>
      <c r="K18" s="33">
        <f t="shared" si="6"/>
        <v>0.014395134853962422</v>
      </c>
      <c r="L18" s="33">
        <f t="shared" si="6"/>
        <v>0.01904175337985703</v>
      </c>
      <c r="M18" s="33">
        <f t="shared" si="6"/>
        <v>0.000517265670591859</v>
      </c>
      <c r="N18" s="34">
        <f t="shared" si="6"/>
        <v>0.028380004122832442</v>
      </c>
      <c r="O18" s="31"/>
    </row>
    <row r="19" ht="13.5" thickBot="1"/>
    <row r="20" spans="1:14" ht="26.25" customHeight="1">
      <c r="A20" s="260" t="s">
        <v>136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2"/>
    </row>
    <row r="21" spans="1:14" ht="13.5" thickBot="1">
      <c r="A21" s="35" t="s">
        <v>3</v>
      </c>
      <c r="B21" s="36" t="s">
        <v>8</v>
      </c>
      <c r="C21" s="36" t="s">
        <v>9</v>
      </c>
      <c r="D21" s="36" t="s">
        <v>10</v>
      </c>
      <c r="E21" s="36" t="s">
        <v>11</v>
      </c>
      <c r="F21" s="36" t="s">
        <v>12</v>
      </c>
      <c r="G21" s="36" t="s">
        <v>13</v>
      </c>
      <c r="H21" s="36" t="s">
        <v>14</v>
      </c>
      <c r="I21" s="36" t="s">
        <v>15</v>
      </c>
      <c r="J21" s="36" t="s">
        <v>16</v>
      </c>
      <c r="K21" s="36" t="s">
        <v>17</v>
      </c>
      <c r="L21" s="36" t="s">
        <v>18</v>
      </c>
      <c r="M21" s="36" t="s">
        <v>19</v>
      </c>
      <c r="N21" s="37" t="s">
        <v>21</v>
      </c>
    </row>
    <row r="22" spans="1:14" ht="12.75">
      <c r="A22" s="12" t="s">
        <v>22</v>
      </c>
      <c r="B22" s="38">
        <f>'Raw Data'!L14</f>
        <v>0.05546374388549547</v>
      </c>
      <c r="C22" s="39">
        <f>'Raw Data'!L15</f>
        <v>0.13763072849767902</v>
      </c>
      <c r="D22" s="39">
        <f>'Raw Data'!L16</f>
        <v>0.08122707220694964</v>
      </c>
      <c r="E22" s="39">
        <f>'Raw Data'!L17</f>
        <v>0.3008034135103752</v>
      </c>
      <c r="F22" s="39">
        <f>'Raw Data'!L18</f>
        <v>0.24505408855495936</v>
      </c>
      <c r="G22" s="39">
        <f>'Raw Data'!L20</f>
        <v>0.10843614264507259</v>
      </c>
      <c r="H22" s="39">
        <f>'Raw Data'!L21</f>
        <v>0.32861775391826104</v>
      </c>
      <c r="I22" s="39">
        <f>'Raw Data'!L22</f>
        <v>0.3365532370349185</v>
      </c>
      <c r="J22" s="39">
        <f>'Raw Data'!L23</f>
        <v>2.5525599614941106</v>
      </c>
      <c r="K22" s="39">
        <f>'Raw Data'!L24</f>
        <v>0.46306399822329064</v>
      </c>
      <c r="L22" s="39">
        <f>'Raw Data'!L25</f>
        <v>1.1652116053413777</v>
      </c>
      <c r="M22" s="39">
        <f>'Raw Data'!L26</f>
        <v>1.052442807482859</v>
      </c>
      <c r="N22" s="40">
        <f>'Raw Data'!L19</f>
        <v>3.4764628245558207</v>
      </c>
    </row>
    <row r="23" spans="1:14" ht="13.5" thickBot="1">
      <c r="A23" s="20" t="s">
        <v>7</v>
      </c>
      <c r="B23" s="41">
        <f>'Raw Data'!L2</f>
        <v>0.044075881827965506</v>
      </c>
      <c r="C23" s="42">
        <f>'Raw Data'!L3</f>
        <v>0.07093543938513108</v>
      </c>
      <c r="D23" s="42">
        <f>'Raw Data'!L4</f>
        <v>0.048013861320442386</v>
      </c>
      <c r="E23" s="42">
        <f>'Raw Data'!L5</f>
        <v>0.26238739796723</v>
      </c>
      <c r="F23" s="42">
        <f>'Raw Data'!L6</f>
        <v>0.249963212202673</v>
      </c>
      <c r="G23" s="42">
        <f>'Raw Data'!L7</f>
        <v>0.04277966312315708</v>
      </c>
      <c r="H23" s="42">
        <f>'Raw Data'!L8</f>
        <v>0.2800080123610868</v>
      </c>
      <c r="I23" s="42">
        <f>'Raw Data'!L9</f>
        <v>0.3515878020920323</v>
      </c>
      <c r="J23" s="42">
        <f>'Raw Data'!L10</f>
        <v>0.2425428899255919</v>
      </c>
      <c r="K23" s="42">
        <f>'Raw Data'!L11</f>
        <v>0.3871935001923353</v>
      </c>
      <c r="L23" s="42">
        <f>'Raw Data'!L12</f>
        <v>0.367346931859886</v>
      </c>
      <c r="M23" s="42">
        <f>'Raw Data'!L13</f>
        <v>0.575468837791491</v>
      </c>
      <c r="N23" s="43">
        <v>0</v>
      </c>
    </row>
    <row r="24" ht="13.5" thickBot="1"/>
    <row r="25" spans="1:14" ht="26.25" customHeight="1">
      <c r="A25" s="260" t="s">
        <v>137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2"/>
    </row>
    <row r="26" spans="1:14" ht="13.5" thickBot="1">
      <c r="A26" s="35" t="s">
        <v>3</v>
      </c>
      <c r="B26" s="36" t="s">
        <v>8</v>
      </c>
      <c r="C26" s="36" t="s">
        <v>9</v>
      </c>
      <c r="D26" s="36" t="s">
        <v>10</v>
      </c>
      <c r="E26" s="36" t="s">
        <v>11</v>
      </c>
      <c r="F26" s="36" t="s">
        <v>12</v>
      </c>
      <c r="G26" s="36" t="s">
        <v>13</v>
      </c>
      <c r="H26" s="36" t="s">
        <v>14</v>
      </c>
      <c r="I26" s="36" t="s">
        <v>15</v>
      </c>
      <c r="J26" s="36" t="s">
        <v>16</v>
      </c>
      <c r="K26" s="36" t="s">
        <v>17</v>
      </c>
      <c r="L26" s="36" t="s">
        <v>18</v>
      </c>
      <c r="M26" s="36" t="s">
        <v>19</v>
      </c>
      <c r="N26" s="37" t="s">
        <v>21</v>
      </c>
    </row>
    <row r="27" spans="1:14" ht="12.75">
      <c r="A27" s="12" t="s">
        <v>22</v>
      </c>
      <c r="B27" s="38">
        <f>'Raw Data'!M14</f>
        <v>0.06031253241221088</v>
      </c>
      <c r="C27" s="39">
        <f>'Raw Data'!M15</f>
        <v>0.17987808165115132</v>
      </c>
      <c r="D27" s="39">
        <f>'Raw Data'!M16</f>
        <v>0.0987601039512568</v>
      </c>
      <c r="E27" s="39">
        <f>'Raw Data'!M17</f>
        <v>0.21222888430347933</v>
      </c>
      <c r="F27" s="39">
        <f>'Raw Data'!M18</f>
        <v>0.2235277626182057</v>
      </c>
      <c r="G27" s="39">
        <f>'Raw Data'!M20</f>
        <v>0.10715706238912816</v>
      </c>
      <c r="H27" s="39">
        <f>'Raw Data'!M21</f>
        <v>0.020648199892395833</v>
      </c>
      <c r="I27" s="39">
        <f>'Raw Data'!M22</f>
        <v>0.23268929437941102</v>
      </c>
      <c r="J27" s="39">
        <f>'Raw Data'!M23</f>
        <v>0.23479010559235158</v>
      </c>
      <c r="K27" s="39">
        <f>'Raw Data'!M24</f>
        <v>0.40343552155084783</v>
      </c>
      <c r="L27" s="39">
        <f>'Raw Data'!M25</f>
        <v>0.20341394229814705</v>
      </c>
      <c r="M27" s="39">
        <f>'Raw Data'!M26</f>
        <v>0.03839874373740308</v>
      </c>
      <c r="N27" s="40">
        <f>'Raw Data'!M19</f>
        <v>0.3854910903121762</v>
      </c>
    </row>
    <row r="28" spans="1:14" ht="13.5" thickBot="1">
      <c r="A28" s="20" t="s">
        <v>7</v>
      </c>
      <c r="B28" s="41">
        <f>'Raw Data'!M2</f>
        <v>0</v>
      </c>
      <c r="C28" s="42">
        <f>'Raw Data'!M3</f>
        <v>0</v>
      </c>
      <c r="D28" s="42">
        <f>'Raw Data'!M4</f>
        <v>0</v>
      </c>
      <c r="E28" s="42">
        <f>'Raw Data'!M5</f>
        <v>0</v>
      </c>
      <c r="F28" s="42">
        <f>'Raw Data'!M6</f>
        <v>0</v>
      </c>
      <c r="G28" s="42">
        <f>'Raw Data'!M7</f>
        <v>0</v>
      </c>
      <c r="H28" s="42">
        <f>'Raw Data'!M8</f>
        <v>0</v>
      </c>
      <c r="I28" s="42">
        <f>'Raw Data'!M9</f>
        <v>0</v>
      </c>
      <c r="J28" s="42">
        <f>'Raw Data'!M10</f>
        <v>0</v>
      </c>
      <c r="K28" s="42">
        <f>'Raw Data'!M11</f>
        <v>0</v>
      </c>
      <c r="L28" s="42">
        <f>'Raw Data'!M12</f>
        <v>0</v>
      </c>
      <c r="M28" s="42">
        <f>'Raw Data'!M13</f>
        <v>0</v>
      </c>
      <c r="N28" s="43">
        <v>0</v>
      </c>
    </row>
    <row r="29" ht="13.5" thickBot="1"/>
    <row r="30" spans="1:14" ht="26.25" customHeight="1">
      <c r="A30" s="256" t="s">
        <v>138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8"/>
    </row>
    <row r="31" spans="1:14" ht="12.75">
      <c r="A31" s="44" t="s">
        <v>3</v>
      </c>
      <c r="B31" s="45" t="s">
        <v>8</v>
      </c>
      <c r="C31" s="45" t="s">
        <v>9</v>
      </c>
      <c r="D31" s="45" t="s">
        <v>10</v>
      </c>
      <c r="E31" s="45" t="s">
        <v>11</v>
      </c>
      <c r="F31" s="45" t="s">
        <v>12</v>
      </c>
      <c r="G31" s="45" t="s">
        <v>13</v>
      </c>
      <c r="H31" s="45" t="s">
        <v>14</v>
      </c>
      <c r="I31" s="45" t="s">
        <v>15</v>
      </c>
      <c r="J31" s="45" t="s">
        <v>16</v>
      </c>
      <c r="K31" s="45" t="s">
        <v>17</v>
      </c>
      <c r="L31" s="45" t="s">
        <v>18</v>
      </c>
      <c r="M31" s="45" t="s">
        <v>19</v>
      </c>
      <c r="N31" s="46" t="s">
        <v>21</v>
      </c>
    </row>
    <row r="32" spans="1:14" ht="12.75">
      <c r="A32" s="35" t="s">
        <v>22</v>
      </c>
      <c r="B32" s="47">
        <f>'Raw Data'!J15</f>
        <v>0.0040417386513180685</v>
      </c>
      <c r="C32" s="47">
        <f>'Raw Data'!J15</f>
        <v>0.0040417386513180685</v>
      </c>
      <c r="D32" s="47">
        <f>'Raw Data'!J16</f>
        <v>0.0020105637583382775</v>
      </c>
      <c r="E32" s="47">
        <f>'Raw Data'!J17</f>
        <v>0.003395485443224607</v>
      </c>
      <c r="F32" s="47">
        <f>'Raw Data'!J18</f>
        <v>0.003222344064969897</v>
      </c>
      <c r="G32" s="47">
        <f>'Raw Data'!J20</f>
        <v>0.002131792604465451</v>
      </c>
      <c r="H32" s="47">
        <f>'Raw Data'!J21</f>
        <v>0.003465576647478105</v>
      </c>
      <c r="I32" s="47">
        <f>'Raw Data'!J22</f>
        <v>0.0011584670244068648</v>
      </c>
      <c r="J32" s="47">
        <f>'Raw Data'!J23</f>
        <v>0.012327947723148925</v>
      </c>
      <c r="K32" s="47">
        <f>'Raw Data'!J24</f>
        <v>0.0023892962290272945</v>
      </c>
      <c r="L32" s="47">
        <f>'Raw Data'!J25</f>
        <v>0.0010141012881223375</v>
      </c>
      <c r="M32" s="47">
        <f>'Raw Data'!J26</f>
        <v>0.00152250360935859</v>
      </c>
      <c r="N32" s="48">
        <f>'Raw Data'!J19</f>
        <v>0.0008552444090610022</v>
      </c>
    </row>
    <row r="33" spans="1:14" ht="13.5" thickBot="1">
      <c r="A33" s="9" t="s">
        <v>7</v>
      </c>
      <c r="B33" s="42">
        <f>'Raw Data'!J2</f>
        <v>0.02844620104078216</v>
      </c>
      <c r="C33" s="42">
        <f>'Raw Data'!J3</f>
        <v>0.05131884481537422</v>
      </c>
      <c r="D33" s="42">
        <f>'Raw Data'!J4</f>
        <v>0.0326443175498494</v>
      </c>
      <c r="E33" s="42">
        <f>'Raw Data'!J5</f>
        <v>0.0521211975818734</v>
      </c>
      <c r="F33" s="42">
        <f>'Raw Data'!J6</f>
        <v>0.049814071788274725</v>
      </c>
      <c r="G33" s="42">
        <f>'Raw Data'!J7</f>
        <v>0.03029895536794045</v>
      </c>
      <c r="H33" s="42">
        <f>'Raw Data'!J8</f>
        <v>0.2118868696744885</v>
      </c>
      <c r="I33" s="42">
        <f>'Raw Data'!J9</f>
        <v>0.1682195148026921</v>
      </c>
      <c r="J33" s="42">
        <f>'Raw Data'!J10</f>
        <v>0.11305297288412872</v>
      </c>
      <c r="K33" s="42">
        <f>'Raw Data'!J11</f>
        <v>0.20338360668299033</v>
      </c>
      <c r="L33" s="42">
        <f>'Raw Data'!K12</f>
        <v>0.1428673106456445</v>
      </c>
      <c r="M33" s="42">
        <f>'Raw Data'!J13</f>
        <v>0.2358546440392674</v>
      </c>
      <c r="N33" s="43">
        <v>0</v>
      </c>
    </row>
    <row r="34" ht="13.5" thickBot="1"/>
    <row r="35" spans="1:14" ht="25.5" customHeight="1">
      <c r="A35" s="256" t="s">
        <v>139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8"/>
    </row>
    <row r="36" spans="1:14" ht="12.75">
      <c r="A36" s="44" t="s">
        <v>3</v>
      </c>
      <c r="B36" s="45" t="s">
        <v>8</v>
      </c>
      <c r="C36" s="45" t="s">
        <v>9</v>
      </c>
      <c r="D36" s="45" t="s">
        <v>10</v>
      </c>
      <c r="E36" s="45" t="s">
        <v>11</v>
      </c>
      <c r="F36" s="45" t="s">
        <v>12</v>
      </c>
      <c r="G36" s="45" t="s">
        <v>13</v>
      </c>
      <c r="H36" s="45" t="s">
        <v>14</v>
      </c>
      <c r="I36" s="45" t="s">
        <v>15</v>
      </c>
      <c r="J36" s="45" t="s">
        <v>16</v>
      </c>
      <c r="K36" s="45" t="s">
        <v>17</v>
      </c>
      <c r="L36" s="45" t="s">
        <v>18</v>
      </c>
      <c r="M36" s="45" t="s">
        <v>19</v>
      </c>
      <c r="N36" s="46" t="s">
        <v>21</v>
      </c>
    </row>
    <row r="37" spans="1:14" ht="12.75">
      <c r="A37" s="44" t="s">
        <v>20</v>
      </c>
      <c r="B37" s="49">
        <f>'Raw Data'!K14</f>
        <v>0.001571821709779397</v>
      </c>
      <c r="C37" s="49">
        <f>'Raw Data'!K15</f>
        <v>0.003672940793236707</v>
      </c>
      <c r="D37" s="49">
        <f>'Raw Data'!K16</f>
        <v>0.0018211437836493376</v>
      </c>
      <c r="E37" s="49">
        <f>'Raw Data'!K17</f>
        <v>0.00312689507461907</v>
      </c>
      <c r="F37" s="49">
        <f>'Raw Data'!K18</f>
        <v>0.0029055420888801755</v>
      </c>
      <c r="G37" s="49">
        <f>'Raw Data'!K20</f>
        <v>0.0019526753062869397</v>
      </c>
      <c r="H37" s="49">
        <f>'Raw Data'!K21</f>
        <v>0.0031158235309495536</v>
      </c>
      <c r="I37" s="49">
        <f>'Raw Data'!K22</f>
        <v>0.0010621259616365344</v>
      </c>
      <c r="J37" s="49">
        <f>'Raw Data'!K23</f>
        <v>0.010485060592543886</v>
      </c>
      <c r="K37" s="49">
        <f>'Raw Data'!K24</f>
        <v>0.002087164843312993</v>
      </c>
      <c r="L37" s="49">
        <f>'Raw Data'!K25</f>
        <v>0.0008427926578829678</v>
      </c>
      <c r="M37" s="49">
        <f>'Raw Data'!K26</f>
        <v>0.0013228716384740273</v>
      </c>
      <c r="N37" s="50">
        <f>'Raw Data'!K19</f>
        <v>0.000683492879426955</v>
      </c>
    </row>
    <row r="38" spans="1:14" ht="13.5" thickBot="1">
      <c r="A38" s="9" t="s">
        <v>7</v>
      </c>
      <c r="B38" s="42">
        <f>'Raw Data'!K2</f>
        <v>0.026170506123310636</v>
      </c>
      <c r="C38" s="42">
        <f>'Raw Data'!K3</f>
        <v>0.047213335372127276</v>
      </c>
      <c r="D38" s="42">
        <f>'Raw Data'!K4</f>
        <v>0.03003277253804154</v>
      </c>
      <c r="E38" s="42">
        <f>'Raw Data'!K5</f>
        <v>0.047951503135139406</v>
      </c>
      <c r="F38" s="42">
        <f>'Raw Data'!K6</f>
        <v>0.04582894668938307</v>
      </c>
      <c r="G38" s="42">
        <f>'Raw Data'!K7</f>
        <v>0.02787503834285273</v>
      </c>
      <c r="H38" s="42">
        <f>'Raw Data'!K8</f>
        <v>0.1949359207257241</v>
      </c>
      <c r="I38" s="42">
        <f>'Raw Data'!K9</f>
        <v>0.1547619536184767</v>
      </c>
      <c r="J38" s="42">
        <f>'Raw Data'!K10</f>
        <v>0.1040087350533984</v>
      </c>
      <c r="K38" s="42">
        <f>'Raw Data'!K11</f>
        <v>0.18711291814835115</v>
      </c>
      <c r="L38" s="42">
        <f>'Raw Data'!K12</f>
        <v>0.1428673106456445</v>
      </c>
      <c r="M38" s="42">
        <f>'Raw Data'!K13</f>
        <v>0.21698628508700643</v>
      </c>
      <c r="N38" s="43">
        <v>0</v>
      </c>
    </row>
    <row r="39" spans="1:14" ht="13.5" thickBo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ht="26.25" customHeight="1">
      <c r="A40" s="256" t="s">
        <v>140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8"/>
    </row>
    <row r="41" spans="1:14" ht="12.75">
      <c r="A41" s="44" t="s">
        <v>3</v>
      </c>
      <c r="B41" s="45" t="s">
        <v>8</v>
      </c>
      <c r="C41" s="45" t="s">
        <v>9</v>
      </c>
      <c r="D41" s="45" t="s">
        <v>10</v>
      </c>
      <c r="E41" s="45" t="s">
        <v>11</v>
      </c>
      <c r="F41" s="45" t="s">
        <v>12</v>
      </c>
      <c r="G41" s="45" t="s">
        <v>13</v>
      </c>
      <c r="H41" s="45" t="s">
        <v>14</v>
      </c>
      <c r="I41" s="45" t="s">
        <v>15</v>
      </c>
      <c r="J41" s="45" t="s">
        <v>16</v>
      </c>
      <c r="K41" s="45" t="s">
        <v>17</v>
      </c>
      <c r="L41" s="45" t="s">
        <v>18</v>
      </c>
      <c r="M41" s="45" t="s">
        <v>19</v>
      </c>
      <c r="N41" s="46" t="s">
        <v>21</v>
      </c>
    </row>
    <row r="42" spans="1:14" ht="12.75">
      <c r="A42" s="44" t="s">
        <v>20</v>
      </c>
      <c r="B42" s="49">
        <f>'Raw Data'!N14</f>
        <v>0.13468749675988853</v>
      </c>
      <c r="C42" s="49">
        <f>'Raw Data'!N15</f>
        <v>0.362671384704936</v>
      </c>
      <c r="D42" s="49">
        <f>'Raw Data'!N16</f>
        <v>0.2640963008866458</v>
      </c>
      <c r="E42" s="49">
        <f>'Raw Data'!N17</f>
        <v>0.538245950607077</v>
      </c>
      <c r="F42" s="49">
        <f>'Raw Data'!N18</f>
        <v>0.48601731565945244</v>
      </c>
      <c r="G42" s="49">
        <f>'Raw Data'!N20</f>
        <v>0.40746758042769415</v>
      </c>
      <c r="H42" s="49">
        <f>'Raw Data'!N21</f>
        <v>1.154211752838474</v>
      </c>
      <c r="I42" s="49">
        <f>'Raw Data'!N22</f>
        <v>1.6917521474807948</v>
      </c>
      <c r="J42" s="49">
        <f>'Raw Data'!N23</f>
        <v>2.5970360726634625</v>
      </c>
      <c r="K42" s="49">
        <f>'Raw Data'!N24</f>
        <v>1.430120154377623</v>
      </c>
      <c r="L42" s="49">
        <f>'Raw Data'!N25</f>
        <v>5.83508821552693</v>
      </c>
      <c r="M42" s="49">
        <f>'Raw Data'!N26</f>
        <v>3.318542458448399</v>
      </c>
      <c r="N42" s="50">
        <f>'Raw Data'!N19</f>
        <v>1.3272657756458703</v>
      </c>
    </row>
    <row r="43" spans="1:14" ht="13.5" thickBot="1">
      <c r="A43" s="9" t="s">
        <v>7</v>
      </c>
      <c r="B43" s="42">
        <f>'Raw Data'!N2</f>
        <v>0.6300662506888803</v>
      </c>
      <c r="C43" s="42">
        <f>'Raw Data'!N3</f>
        <v>0.7302957157289464</v>
      </c>
      <c r="D43" s="42">
        <f>'Raw Data'!N4</f>
        <v>0.7178065474967052</v>
      </c>
      <c r="E43" s="42">
        <f>'Raw Data'!N5</f>
        <v>4.146987711254459</v>
      </c>
      <c r="F43" s="42">
        <f>'Raw Data'!N6</f>
        <v>3.9879371783963538</v>
      </c>
      <c r="G43" s="42">
        <f>'Raw Data'!N7</f>
        <v>0.5216602882945968</v>
      </c>
      <c r="H43" s="42">
        <f>'Raw Data'!N8</f>
        <v>8.034338553439905</v>
      </c>
      <c r="I43" s="42">
        <f>'Raw Data'!N9</f>
        <v>8.997470425051437</v>
      </c>
      <c r="J43" s="42">
        <f>'Raw Data'!N10</f>
        <v>10.505606964749163</v>
      </c>
      <c r="K43" s="42">
        <f>'Raw Data'!N11</f>
        <v>6.698731133071476</v>
      </c>
      <c r="L43" s="42">
        <f>'Raw Data'!N12</f>
        <v>7.940133168464461</v>
      </c>
      <c r="M43" s="42">
        <f>'Raw Data'!N13</f>
        <v>12.30457063866854</v>
      </c>
      <c r="N43" s="43">
        <v>0</v>
      </c>
    </row>
    <row r="44" spans="1:14" ht="13.5" thickBot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25.5" customHeight="1">
      <c r="A45" s="256" t="s">
        <v>141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8"/>
    </row>
    <row r="46" spans="1:14" ht="12.75">
      <c r="A46" s="44" t="s">
        <v>3</v>
      </c>
      <c r="B46" s="45" t="s">
        <v>8</v>
      </c>
      <c r="C46" s="45" t="s">
        <v>9</v>
      </c>
      <c r="D46" s="45" t="s">
        <v>10</v>
      </c>
      <c r="E46" s="45" t="s">
        <v>11</v>
      </c>
      <c r="F46" s="45" t="s">
        <v>12</v>
      </c>
      <c r="G46" s="45" t="s">
        <v>13</v>
      </c>
      <c r="H46" s="45" t="s">
        <v>14</v>
      </c>
      <c r="I46" s="45" t="s">
        <v>15</v>
      </c>
      <c r="J46" s="45" t="s">
        <v>16</v>
      </c>
      <c r="K46" s="45" t="s">
        <v>17</v>
      </c>
      <c r="L46" s="45" t="s">
        <v>18</v>
      </c>
      <c r="M46" s="45" t="s">
        <v>19</v>
      </c>
      <c r="N46" s="46" t="s">
        <v>21</v>
      </c>
    </row>
    <row r="47" spans="1:14" ht="12.75">
      <c r="A47" s="44" t="s">
        <v>20</v>
      </c>
      <c r="B47" s="49">
        <f>'Raw Data'!O14</f>
        <v>1.4208833805954288</v>
      </c>
      <c r="C47" s="49">
        <f>'Raw Data'!O15</f>
        <v>3.439722767985714</v>
      </c>
      <c r="D47" s="49">
        <f>'Raw Data'!O16</f>
        <v>2.0805228016806656</v>
      </c>
      <c r="E47" s="49">
        <f>'Raw Data'!O17</f>
        <v>3.494805968697553</v>
      </c>
      <c r="F47" s="49">
        <f>'Raw Data'!O18</f>
        <v>3.3444748201663015</v>
      </c>
      <c r="G47" s="49">
        <f>'Raw Data'!O20</f>
        <v>2.743533226861275</v>
      </c>
      <c r="H47" s="49">
        <f>'Raw Data'!O21</f>
        <v>8.346726791316037</v>
      </c>
      <c r="I47" s="49">
        <f>'Raw Data'!O22</f>
        <v>5.18153281935338</v>
      </c>
      <c r="J47" s="49">
        <f>'Raw Data'!O23</f>
        <v>37.75976030571037</v>
      </c>
      <c r="K47" s="49">
        <f>'Raw Data'!O24</f>
        <v>7.888726162374337</v>
      </c>
      <c r="L47" s="49">
        <f>'Raw Data'!O25</f>
        <v>37.52519362999377</v>
      </c>
      <c r="M47" s="49">
        <f>'Raw Data'!O26</f>
        <v>11.926924938766932</v>
      </c>
      <c r="N47" s="50">
        <f>'Raw Data'!O19</f>
        <v>37.49612465192354</v>
      </c>
    </row>
    <row r="48" spans="1:14" ht="13.5" thickBot="1">
      <c r="A48" s="9" t="s">
        <v>7</v>
      </c>
      <c r="B48" s="42">
        <f>'Raw Data'!O2</f>
        <v>0.21144985981395562</v>
      </c>
      <c r="C48" s="42">
        <f>'Raw Data'!O3</f>
        <v>0.29377183792230793</v>
      </c>
      <c r="D48" s="42">
        <f>'Raw Data'!O4</f>
        <v>0.2313379944199744</v>
      </c>
      <c r="E48" s="42">
        <f>'Raw Data'!O5</f>
        <v>1.1742340252292869</v>
      </c>
      <c r="F48" s="42">
        <f>'Raw Data'!O6</f>
        <v>1.1205802761505848</v>
      </c>
      <c r="G48" s="42">
        <f>'Raw Data'!O7</f>
        <v>0.19791887979158074</v>
      </c>
      <c r="H48" s="42">
        <f>'Raw Data'!O8</f>
        <v>0.7556922116984499</v>
      </c>
      <c r="I48" s="42">
        <f>'Raw Data'!O9</f>
        <v>1.1077305639453305</v>
      </c>
      <c r="J48" s="42">
        <f>'Raw Data'!O10</f>
        <v>0.635574104041392</v>
      </c>
      <c r="K48" s="42">
        <f>'Raw Data'!O11</f>
        <v>1.0586491222221457</v>
      </c>
      <c r="L48" s="42">
        <f>'Raw Data'!O12</f>
        <v>1.481881123203116</v>
      </c>
      <c r="M48" s="42">
        <f>'Raw Data'!O13</f>
        <v>2.212407809323304</v>
      </c>
      <c r="N48" s="43">
        <v>0</v>
      </c>
    </row>
    <row r="49" spans="1:14" ht="13.5" thickBot="1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ht="25.5" customHeight="1">
      <c r="A50" s="256" t="s">
        <v>142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8"/>
    </row>
    <row r="51" spans="1:14" ht="12.75">
      <c r="A51" s="44" t="s">
        <v>3</v>
      </c>
      <c r="B51" s="45" t="s">
        <v>8</v>
      </c>
      <c r="C51" s="45" t="s">
        <v>9</v>
      </c>
      <c r="D51" s="45" t="s">
        <v>10</v>
      </c>
      <c r="E51" s="45" t="s">
        <v>11</v>
      </c>
      <c r="F51" s="45" t="s">
        <v>12</v>
      </c>
      <c r="G51" s="45" t="s">
        <v>13</v>
      </c>
      <c r="H51" s="45" t="s">
        <v>14</v>
      </c>
      <c r="I51" s="45" t="s">
        <v>15</v>
      </c>
      <c r="J51" s="45" t="s">
        <v>16</v>
      </c>
      <c r="K51" s="45" t="s">
        <v>17</v>
      </c>
      <c r="L51" s="45" t="s">
        <v>18</v>
      </c>
      <c r="M51" s="45" t="s">
        <v>19</v>
      </c>
      <c r="N51" s="46" t="s">
        <v>21</v>
      </c>
    </row>
    <row r="52" spans="1:14" ht="12.75">
      <c r="A52" s="44" t="s">
        <v>20</v>
      </c>
      <c r="B52" s="49">
        <f>'Raw Data'!P14</f>
        <v>0.0033563601960727185</v>
      </c>
      <c r="C52" s="49">
        <f>'Raw Data'!P15</f>
        <v>0.0038960052137199733</v>
      </c>
      <c r="D52" s="49">
        <f>'Raw Data'!P16</f>
        <v>0.004580650452828361</v>
      </c>
      <c r="E52" s="49">
        <f>'Raw Data'!P17</f>
        <v>0.009738277602049372</v>
      </c>
      <c r="F52" s="49">
        <f>'Raw Data'!P18</f>
        <v>0.009734257240875463</v>
      </c>
      <c r="G52" s="49">
        <f>'Raw Data'!P20</f>
        <v>0.005795744208194509</v>
      </c>
      <c r="H52" s="49">
        <f>'Raw Data'!P21</f>
        <v>0.006979477161933277</v>
      </c>
      <c r="I52" s="49">
        <f>'Raw Data'!P22</f>
        <v>0.006930068817047133</v>
      </c>
      <c r="J52" s="49">
        <f>'Raw Data'!P23</f>
        <v>0.008076116728791194</v>
      </c>
      <c r="K52" s="49">
        <f>'Raw Data'!P24</f>
        <v>0.006976322035769114</v>
      </c>
      <c r="L52" s="49">
        <f>'Raw Data'!P25</f>
        <v>0.0064183052183067095</v>
      </c>
      <c r="M52" s="49">
        <f>'Raw Data'!P26</f>
        <v>0.0076467890161359235</v>
      </c>
      <c r="N52" s="50">
        <f>'Raw Data'!P19</f>
        <v>0.0022325201850322547</v>
      </c>
    </row>
    <row r="53" spans="1:14" ht="13.5" thickBot="1">
      <c r="A53" s="9" t="s">
        <v>7</v>
      </c>
      <c r="B53" s="42">
        <f>'Raw Data'!P2</f>
        <v>0.0035671563140775068</v>
      </c>
      <c r="C53" s="42">
        <f>'Raw Data'!P3</f>
        <v>0.0036091005847568155</v>
      </c>
      <c r="D53" s="42">
        <f>'Raw Data'!P4</f>
        <v>0.003570132335310146</v>
      </c>
      <c r="E53" s="42">
        <f>'Raw Data'!P5</f>
        <v>0.005004499486116829</v>
      </c>
      <c r="F53" s="42">
        <f>'Raw Data'!P6</f>
        <v>0.0050028940185378595</v>
      </c>
      <c r="G53" s="42">
        <f>'Raw Data'!P7</f>
        <v>0.0036066480847704763</v>
      </c>
      <c r="H53" s="42">
        <f>'Raw Data'!P8</f>
        <v>0.011510879029535152</v>
      </c>
      <c r="I53" s="42">
        <f>'Raw Data'!P9</f>
        <v>0.014147001256577791</v>
      </c>
      <c r="J53" s="42">
        <f>'Raw Data'!P10</f>
        <v>0.012402271730162904</v>
      </c>
      <c r="K53" s="42">
        <f>'Raw Data'!P11</f>
        <v>0.01143709237634358</v>
      </c>
      <c r="L53" s="42">
        <f>'Raw Data'!P12</f>
        <v>0.01665652268380501</v>
      </c>
      <c r="M53" s="42">
        <f>'Raw Data'!P13</f>
        <v>0.02369639460421636</v>
      </c>
      <c r="N53" s="43">
        <v>0</v>
      </c>
    </row>
    <row r="54" spans="1:14" ht="13.5" thickBo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1:14" ht="24.75" customHeight="1">
      <c r="A55" s="256" t="s">
        <v>160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8"/>
    </row>
    <row r="56" spans="1:14" ht="12.75">
      <c r="A56" s="44" t="s">
        <v>3</v>
      </c>
      <c r="B56" s="45" t="s">
        <v>8</v>
      </c>
      <c r="C56" s="45" t="s">
        <v>9</v>
      </c>
      <c r="D56" s="45" t="s">
        <v>10</v>
      </c>
      <c r="E56" s="45" t="s">
        <v>11</v>
      </c>
      <c r="F56" s="45" t="s">
        <v>12</v>
      </c>
      <c r="G56" s="45" t="s">
        <v>13</v>
      </c>
      <c r="H56" s="45" t="s">
        <v>14</v>
      </c>
      <c r="I56" s="45" t="s">
        <v>15</v>
      </c>
      <c r="J56" s="45" t="s">
        <v>16</v>
      </c>
      <c r="K56" s="45" t="s">
        <v>17</v>
      </c>
      <c r="L56" s="45" t="s">
        <v>18</v>
      </c>
      <c r="M56" s="45" t="s">
        <v>19</v>
      </c>
      <c r="N56" s="46" t="s">
        <v>21</v>
      </c>
    </row>
    <row r="57" spans="1:14" ht="12.75">
      <c r="A57" s="44" t="s">
        <v>20</v>
      </c>
      <c r="B57" s="49">
        <f>'Raw Data'!Q14</f>
        <v>0.04070531472490243</v>
      </c>
      <c r="C57" s="49">
        <f>'Raw Data'!Q15</f>
        <v>0.10752428617754292</v>
      </c>
      <c r="D57" s="49">
        <f>'Raw Data'!Q16</f>
        <v>0.060393263133286246</v>
      </c>
      <c r="E57" s="49">
        <f>'Raw Data'!Q17</f>
        <v>0.2621295750190736</v>
      </c>
      <c r="F57" s="49">
        <f>'Raw Data'!Q18</f>
        <v>0.21066151624836163</v>
      </c>
      <c r="G57" s="49">
        <f>'Raw Data'!Q20</f>
        <v>0.0764631127552314</v>
      </c>
      <c r="H57" s="49">
        <f>'Raw Data'!Q21</f>
        <v>0.27917745940247607</v>
      </c>
      <c r="I57" s="49">
        <f>'Raw Data'!Q22</f>
        <v>0.287509925267435</v>
      </c>
      <c r="J57" s="49">
        <f>'Raw Data'!Q23</f>
        <v>2.360906317909025</v>
      </c>
      <c r="K57" s="49">
        <f>'Raw Data'!Q24</f>
        <v>0.4097734799415136</v>
      </c>
      <c r="L57" s="49">
        <f>'Raw Data'!Q25</f>
        <v>1.0197233837461894</v>
      </c>
      <c r="M57" s="49">
        <f>'Raw Data'!Q26</f>
        <v>0.966384991229724</v>
      </c>
      <c r="N57" s="50">
        <f>'Raw Data'!Q19</f>
        <v>3.1959768711428618</v>
      </c>
    </row>
    <row r="58" spans="1:14" ht="13.5" thickBot="1">
      <c r="A58" s="9" t="s">
        <v>7</v>
      </c>
      <c r="B58" s="42">
        <f>'Raw Data'!Q2</f>
        <v>0.03871625550553231</v>
      </c>
      <c r="C58" s="42">
        <f>'Raw Data'!Q3</f>
        <v>0.062309693992447866</v>
      </c>
      <c r="D58" s="42">
        <f>'Raw Data'!Q4</f>
        <v>0.0421753771361267</v>
      </c>
      <c r="E58" s="42">
        <f>'Raw Data'!Q5</f>
        <v>0.23048109570166353</v>
      </c>
      <c r="F58" s="42">
        <f>'Raw Data'!Q6</f>
        <v>0.21956769225828024</v>
      </c>
      <c r="G58" s="42">
        <f>'Raw Data'!Q7</f>
        <v>0.03757765657713007</v>
      </c>
      <c r="H58" s="42">
        <f>'Raw Data'!Q8</f>
        <v>0.24595904682301165</v>
      </c>
      <c r="I58" s="42">
        <f>'Raw Data'!Q9</f>
        <v>0.3088373396471872</v>
      </c>
      <c r="J58" s="42">
        <f>'Raw Data'!Q10</f>
        <v>0.21305147797861507</v>
      </c>
      <c r="K58" s="42">
        <f>'Raw Data'!Q11</f>
        <v>0.34011364961058</v>
      </c>
      <c r="L58" s="42">
        <f>'Raw Data'!Q12</f>
        <v>0.3226802764148989</v>
      </c>
      <c r="M58" s="42">
        <f>'Raw Data'!Q13</f>
        <v>0.5054918376087754</v>
      </c>
      <c r="N58" s="43">
        <v>0</v>
      </c>
    </row>
    <row r="59" spans="1:14" ht="13.5" thickBot="1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25.5" customHeight="1">
      <c r="A60" s="256" t="s">
        <v>161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8"/>
    </row>
    <row r="61" spans="1:14" ht="12.75">
      <c r="A61" s="44" t="s">
        <v>3</v>
      </c>
      <c r="B61" s="45" t="s">
        <v>8</v>
      </c>
      <c r="C61" s="45" t="s">
        <v>9</v>
      </c>
      <c r="D61" s="45" t="s">
        <v>10</v>
      </c>
      <c r="E61" s="45" t="s">
        <v>11</v>
      </c>
      <c r="F61" s="45" t="s">
        <v>12</v>
      </c>
      <c r="G61" s="45" t="s">
        <v>13</v>
      </c>
      <c r="H61" s="45" t="s">
        <v>14</v>
      </c>
      <c r="I61" s="45" t="s">
        <v>15</v>
      </c>
      <c r="J61" s="45" t="s">
        <v>16</v>
      </c>
      <c r="K61" s="45" t="s">
        <v>17</v>
      </c>
      <c r="L61" s="45" t="s">
        <v>18</v>
      </c>
      <c r="M61" s="45" t="s">
        <v>19</v>
      </c>
      <c r="N61" s="46" t="s">
        <v>21</v>
      </c>
    </row>
    <row r="62" spans="1:14" ht="12.75">
      <c r="A62" s="44" t="s">
        <v>20</v>
      </c>
      <c r="B62" s="80">
        <f>'Raw Data'!R14</f>
        <v>333.8537402902571</v>
      </c>
      <c r="C62" s="80">
        <f>'Raw Data'!R15</f>
        <v>384.5017248589215</v>
      </c>
      <c r="D62" s="80">
        <f>'Raw Data'!R16</f>
        <v>455.39416387306767</v>
      </c>
      <c r="E62" s="80">
        <f>'Raw Data'!R17</f>
        <v>969.2210345576278</v>
      </c>
      <c r="F62" s="80">
        <f>'Raw Data'!R18</f>
        <v>969.2210359328358</v>
      </c>
      <c r="G62" s="80">
        <f>'Raw Data'!R20</f>
        <v>576.0050990854946</v>
      </c>
      <c r="H62" s="80">
        <f>'Raw Data'!R21</f>
        <v>685.1322568140484</v>
      </c>
      <c r="I62" s="80">
        <f>'Raw Data'!R22</f>
        <v>685.1322630999852</v>
      </c>
      <c r="J62" s="80">
        <f>'Raw Data'!R23</f>
        <v>742.1238439469257</v>
      </c>
      <c r="K62" s="80">
        <f>'Raw Data'!R24</f>
        <v>685.1322667387115</v>
      </c>
      <c r="L62" s="80">
        <f>'Raw Data'!R25</f>
        <v>580.5715102925216</v>
      </c>
      <c r="M62" s="80">
        <f>'Raw Data'!R26</f>
        <v>744.1909535042026</v>
      </c>
      <c r="N62" s="81">
        <f>'Raw Data'!R19</f>
        <v>154.35654332686795</v>
      </c>
    </row>
    <row r="63" spans="1:14" ht="13.5" thickBot="1">
      <c r="A63" s="9" t="s">
        <v>7</v>
      </c>
      <c r="B63" s="76">
        <f>'Raw Data'!R2</f>
        <v>373.6564673280883</v>
      </c>
      <c r="C63" s="76">
        <f>'Raw Data'!R3</f>
        <v>378.05010556682106</v>
      </c>
      <c r="D63" s="76">
        <f>'Raw Data'!R4</f>
        <v>373.968202942854</v>
      </c>
      <c r="E63" s="76">
        <f>'Raw Data'!R5</f>
        <v>524.2168968449861</v>
      </c>
      <c r="F63" s="76">
        <f>'Raw Data'!R6</f>
        <v>524.0487381131798</v>
      </c>
      <c r="G63" s="76">
        <f>'Raw Data'!R7</f>
        <v>377.7931908314066</v>
      </c>
      <c r="H63" s="76">
        <f>'Raw Data'!R8</f>
        <v>1205.7544169667412</v>
      </c>
      <c r="I63" s="76">
        <f>'Raw Data'!R9</f>
        <v>1482.841515043629</v>
      </c>
      <c r="J63" s="76">
        <f>'Raw Data'!R10</f>
        <v>1299.9647818499081</v>
      </c>
      <c r="K63" s="76">
        <f>'Raw Data'!R11</f>
        <v>1198.7978992470798</v>
      </c>
      <c r="L63" s="76">
        <f>'Raw Data'!R12</f>
        <v>1745.8811859741622</v>
      </c>
      <c r="M63" s="76">
        <f>'Raw Data'!R13</f>
        <v>2482.1762439255212</v>
      </c>
      <c r="N63" s="77">
        <v>0</v>
      </c>
    </row>
    <row r="64" spans="1:14" ht="13.5" thickBot="1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ht="25.5" customHeight="1">
      <c r="A65" s="256" t="s">
        <v>162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8"/>
    </row>
    <row r="66" spans="1:14" ht="12.75">
      <c r="A66" s="44" t="s">
        <v>3</v>
      </c>
      <c r="B66" s="45" t="s">
        <v>8</v>
      </c>
      <c r="C66" s="45" t="s">
        <v>9</v>
      </c>
      <c r="D66" s="45" t="s">
        <v>10</v>
      </c>
      <c r="E66" s="45" t="s">
        <v>11</v>
      </c>
      <c r="F66" s="45" t="s">
        <v>12</v>
      </c>
      <c r="G66" s="45" t="s">
        <v>13</v>
      </c>
      <c r="H66" s="45" t="s">
        <v>14</v>
      </c>
      <c r="I66" s="45" t="s">
        <v>15</v>
      </c>
      <c r="J66" s="45" t="s">
        <v>16</v>
      </c>
      <c r="K66" s="45" t="s">
        <v>17</v>
      </c>
      <c r="L66" s="45" t="s">
        <v>18</v>
      </c>
      <c r="M66" s="45" t="s">
        <v>19</v>
      </c>
      <c r="N66" s="46" t="s">
        <v>21</v>
      </c>
    </row>
    <row r="67" spans="1:14" ht="12.75">
      <c r="A67" s="44" t="s">
        <v>20</v>
      </c>
      <c r="B67" s="80">
        <f>'Raw Data'!S14</f>
        <v>291.8561759563015</v>
      </c>
      <c r="C67" s="80">
        <f>'Raw Data'!S15</f>
        <v>341.47331760107136</v>
      </c>
      <c r="D67" s="80">
        <f>'Raw Data'!S16</f>
        <v>414.414537971914</v>
      </c>
      <c r="E67" s="80">
        <f>'Raw Data'!S17</f>
        <v>954.6827190392635</v>
      </c>
      <c r="F67" s="80">
        <f>'Raw Data'!S18</f>
        <v>954.6827203938433</v>
      </c>
      <c r="G67" s="80">
        <f>'Raw Data'!S20</f>
        <v>539.2886114862823</v>
      </c>
      <c r="H67" s="80">
        <f>'Raw Data'!S21</f>
        <v>674.8552729618377</v>
      </c>
      <c r="I67" s="80">
        <f>'Raw Data'!S22</f>
        <v>674.8552791534854</v>
      </c>
      <c r="J67" s="80">
        <f>'Raw Data'!S23</f>
        <v>730.9919862877218</v>
      </c>
      <c r="K67" s="80">
        <f>'Raw Data'!S24</f>
        <v>674.8552827376309</v>
      </c>
      <c r="L67" s="80">
        <f>'Raw Data'!S25</f>
        <v>571.8629376381338</v>
      </c>
      <c r="M67" s="80">
        <f>'Raw Data'!S26</f>
        <v>733.0280892016394</v>
      </c>
      <c r="N67" s="81">
        <f>'Raw Data'!S19</f>
        <v>152.04119517696492</v>
      </c>
    </row>
    <row r="68" spans="1:14" ht="13.5" thickBot="1">
      <c r="A68" s="9" t="s">
        <v>7</v>
      </c>
      <c r="B68" s="76">
        <f>'Raw Data'!S2</f>
        <v>318.77934737478313</v>
      </c>
      <c r="C68" s="76">
        <f>'Raw Data'!S3</f>
        <v>323.9440235394529</v>
      </c>
      <c r="D68" s="76">
        <f>'Raw Data'!S4</f>
        <v>328.13397229670375</v>
      </c>
      <c r="E68" s="76">
        <f>'Raw Data'!S5</f>
        <v>516.3536433923115</v>
      </c>
      <c r="F68" s="76">
        <f>'Raw Data'!S6</f>
        <v>516.188007041482</v>
      </c>
      <c r="G68" s="76">
        <f>'Raw Data'!S7</f>
        <v>348.1881922072609</v>
      </c>
      <c r="H68" s="76">
        <f>'Raw Data'!S8</f>
        <v>1187.66810071224</v>
      </c>
      <c r="I68" s="76">
        <f>'Raw Data'!S9</f>
        <v>1460.5988923179734</v>
      </c>
      <c r="J68" s="76">
        <f>'Raw Data'!S10</f>
        <v>1280.4653101221604</v>
      </c>
      <c r="K68" s="76">
        <f>'Raw Data'!S11</f>
        <v>1180.8159307583728</v>
      </c>
      <c r="L68" s="76">
        <f>'Raw Data'!S12</f>
        <v>1719.6929681845495</v>
      </c>
      <c r="M68" s="76">
        <f>'Raw Data'!S13</f>
        <v>2444.94360026664</v>
      </c>
      <c r="N68" s="77">
        <v>0</v>
      </c>
    </row>
    <row r="69" spans="1:14" ht="12.75">
      <c r="A69" s="51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ht="13.5" thickBot="1"/>
    <row r="71" spans="1:11" ht="41.25" customHeight="1">
      <c r="A71" s="268" t="s">
        <v>120</v>
      </c>
      <c r="B71" s="269"/>
      <c r="C71" s="269"/>
      <c r="D71" s="270"/>
      <c r="H71" s="268" t="s">
        <v>121</v>
      </c>
      <c r="I71" s="269"/>
      <c r="J71" s="269"/>
      <c r="K71" s="270"/>
    </row>
    <row r="72" spans="1:11" s="55" customFormat="1" ht="13.5" thickBot="1">
      <c r="A72" s="53" t="s">
        <v>37</v>
      </c>
      <c r="B72" s="263" t="s">
        <v>36</v>
      </c>
      <c r="C72" s="263"/>
      <c r="D72" s="54" t="s">
        <v>35</v>
      </c>
      <c r="F72" s="56"/>
      <c r="G72" s="56"/>
      <c r="H72" s="53" t="s">
        <v>37</v>
      </c>
      <c r="I72" s="263" t="s">
        <v>36</v>
      </c>
      <c r="J72" s="263"/>
      <c r="K72" s="54" t="s">
        <v>35</v>
      </c>
    </row>
    <row r="73" spans="1:11" ht="15">
      <c r="A73" s="191">
        <v>75070</v>
      </c>
      <c r="B73" s="264" t="s">
        <v>53</v>
      </c>
      <c r="C73" s="264"/>
      <c r="D73" s="4">
        <v>0.0028</v>
      </c>
      <c r="E73" s="186"/>
      <c r="F73"/>
      <c r="H73" s="191">
        <v>71432</v>
      </c>
      <c r="I73" s="264" t="s">
        <v>55</v>
      </c>
      <c r="J73" s="264"/>
      <c r="K73" s="66">
        <v>0.0036</v>
      </c>
    </row>
    <row r="74" spans="1:11" ht="15">
      <c r="A74" s="192">
        <v>107028</v>
      </c>
      <c r="B74" s="273" t="s">
        <v>54</v>
      </c>
      <c r="C74" s="273"/>
      <c r="D74" s="6">
        <v>0.0013</v>
      </c>
      <c r="E74" s="186"/>
      <c r="F74"/>
      <c r="H74" s="192">
        <v>100414</v>
      </c>
      <c r="I74" s="273" t="s">
        <v>57</v>
      </c>
      <c r="J74" s="273"/>
      <c r="K74" s="64">
        <v>0.00118</v>
      </c>
    </row>
    <row r="75" spans="1:11" ht="15">
      <c r="A75" s="192">
        <v>71432</v>
      </c>
      <c r="B75" s="273" t="s">
        <v>55</v>
      </c>
      <c r="C75" s="273"/>
      <c r="D75" s="6">
        <v>0.0247</v>
      </c>
      <c r="E75" s="186"/>
      <c r="F75"/>
      <c r="H75" s="192">
        <v>110543</v>
      </c>
      <c r="I75" s="273" t="s">
        <v>59</v>
      </c>
      <c r="J75" s="273"/>
      <c r="K75" s="64">
        <v>0.0154</v>
      </c>
    </row>
    <row r="76" spans="1:11" ht="15">
      <c r="A76" s="192">
        <v>106990</v>
      </c>
      <c r="B76" s="273" t="s">
        <v>56</v>
      </c>
      <c r="C76" s="273"/>
      <c r="D76" s="6">
        <v>0.0055</v>
      </c>
      <c r="E76" s="186"/>
      <c r="F76"/>
      <c r="H76" s="192">
        <v>108883</v>
      </c>
      <c r="I76" s="273" t="s">
        <v>65</v>
      </c>
      <c r="J76" s="273"/>
      <c r="K76" s="64">
        <v>0.017</v>
      </c>
    </row>
    <row r="77" spans="1:11" ht="15.75" thickBot="1">
      <c r="A77" s="192">
        <v>100414</v>
      </c>
      <c r="B77" s="273" t="s">
        <v>57</v>
      </c>
      <c r="C77" s="273"/>
      <c r="D77" s="6">
        <v>0.0105</v>
      </c>
      <c r="E77" s="186"/>
      <c r="F77"/>
      <c r="G77" s="187"/>
      <c r="H77" s="193">
        <v>1330207</v>
      </c>
      <c r="I77" s="274" t="s">
        <v>66</v>
      </c>
      <c r="J77" s="274"/>
      <c r="K77" s="65">
        <v>0.00578</v>
      </c>
    </row>
    <row r="78" spans="1:11" ht="15">
      <c r="A78" s="192">
        <v>50000</v>
      </c>
      <c r="B78" s="273" t="s">
        <v>58</v>
      </c>
      <c r="C78" s="273"/>
      <c r="D78" s="6">
        <v>0.0158</v>
      </c>
      <c r="E78" s="186"/>
      <c r="F78"/>
      <c r="H78" s="62"/>
      <c r="I78" s="265"/>
      <c r="J78" s="265"/>
      <c r="K78" s="63"/>
    </row>
    <row r="79" spans="1:11" ht="15">
      <c r="A79" s="192">
        <v>110543</v>
      </c>
      <c r="B79" s="273" t="s">
        <v>59</v>
      </c>
      <c r="C79" s="273"/>
      <c r="D79" s="6">
        <v>0.016</v>
      </c>
      <c r="E79" s="186"/>
      <c r="F79"/>
      <c r="H79" s="62"/>
      <c r="I79" s="265"/>
      <c r="J79" s="265"/>
      <c r="K79" s="63"/>
    </row>
    <row r="80" spans="1:11" ht="15">
      <c r="A80" s="192">
        <v>67561</v>
      </c>
      <c r="B80" s="273" t="s">
        <v>60</v>
      </c>
      <c r="C80" s="273"/>
      <c r="D80" s="6">
        <v>0.0012</v>
      </c>
      <c r="E80" s="186"/>
      <c r="F80"/>
      <c r="H80" s="62"/>
      <c r="I80" s="265"/>
      <c r="J80" s="265"/>
      <c r="K80" s="63"/>
    </row>
    <row r="81" spans="1:11" ht="15">
      <c r="A81" s="192">
        <v>78933</v>
      </c>
      <c r="B81" s="273" t="s">
        <v>61</v>
      </c>
      <c r="C81" s="273"/>
      <c r="D81" s="6">
        <v>0.0002</v>
      </c>
      <c r="E81" s="186"/>
      <c r="F81"/>
      <c r="H81" s="62"/>
      <c r="I81" s="265"/>
      <c r="J81" s="265"/>
      <c r="K81" s="63"/>
    </row>
    <row r="82" spans="1:11" ht="15">
      <c r="A82" s="192">
        <v>91203</v>
      </c>
      <c r="B82" s="273" t="s">
        <v>62</v>
      </c>
      <c r="C82" s="273"/>
      <c r="D82" s="6">
        <v>0.0005</v>
      </c>
      <c r="E82" s="186"/>
      <c r="F82"/>
      <c r="H82" s="62"/>
      <c r="I82" s="265"/>
      <c r="J82" s="265"/>
      <c r="K82" s="63"/>
    </row>
    <row r="83" spans="1:11" ht="15">
      <c r="A83" s="192">
        <v>115071</v>
      </c>
      <c r="B83" s="273" t="s">
        <v>63</v>
      </c>
      <c r="C83" s="273"/>
      <c r="D83" s="6">
        <v>0.0306</v>
      </c>
      <c r="E83"/>
      <c r="F83"/>
      <c r="H83" s="62"/>
      <c r="I83" s="265"/>
      <c r="J83" s="265"/>
      <c r="K83" s="63"/>
    </row>
    <row r="84" spans="1:11" ht="15">
      <c r="A84" s="192">
        <v>100425</v>
      </c>
      <c r="B84" s="273" t="s">
        <v>64</v>
      </c>
      <c r="C84" s="273"/>
      <c r="D84" s="6">
        <v>0.0012</v>
      </c>
      <c r="E84" s="186"/>
      <c r="F84"/>
      <c r="H84" s="62"/>
      <c r="I84" s="265"/>
      <c r="J84" s="265"/>
      <c r="K84" s="63"/>
    </row>
    <row r="85" spans="1:11" ht="15">
      <c r="A85" s="192">
        <v>108883</v>
      </c>
      <c r="B85" s="273" t="s">
        <v>65</v>
      </c>
      <c r="C85" s="273"/>
      <c r="D85" s="6">
        <v>0.0576</v>
      </c>
      <c r="E85" s="186"/>
      <c r="F85"/>
      <c r="H85" s="62"/>
      <c r="I85" s="265"/>
      <c r="J85" s="265"/>
      <c r="K85" s="63"/>
    </row>
    <row r="86" spans="1:6" ht="15.75" thickBot="1">
      <c r="A86" s="193">
        <v>1330207</v>
      </c>
      <c r="B86" s="274" t="s">
        <v>66</v>
      </c>
      <c r="C86" s="274"/>
      <c r="D86" s="7">
        <v>0.048</v>
      </c>
      <c r="E86" s="186"/>
      <c r="F86" s="186"/>
    </row>
    <row r="87" spans="1:4" ht="15">
      <c r="A87" s="186"/>
      <c r="B87" s="186"/>
      <c r="D87" s="186"/>
    </row>
    <row r="88" spans="1:4" ht="15">
      <c r="A88" s="186"/>
      <c r="B88" s="186"/>
      <c r="D88" s="186"/>
    </row>
  </sheetData>
  <sheetProtection/>
  <mergeCells count="46">
    <mergeCell ref="I82:J82"/>
    <mergeCell ref="I84:J84"/>
    <mergeCell ref="I85:J85"/>
    <mergeCell ref="B86:C86"/>
    <mergeCell ref="B82:C82"/>
    <mergeCell ref="B83:C83"/>
    <mergeCell ref="B84:C84"/>
    <mergeCell ref="B85:C85"/>
    <mergeCell ref="I83:J83"/>
    <mergeCell ref="I81:J81"/>
    <mergeCell ref="B72:C72"/>
    <mergeCell ref="B74:C74"/>
    <mergeCell ref="B75:C75"/>
    <mergeCell ref="B81:C81"/>
    <mergeCell ref="B76:C76"/>
    <mergeCell ref="I73:J73"/>
    <mergeCell ref="I74:J74"/>
    <mergeCell ref="B77:C77"/>
    <mergeCell ref="B78:C78"/>
    <mergeCell ref="I80:J80"/>
    <mergeCell ref="B79:C79"/>
    <mergeCell ref="I77:J77"/>
    <mergeCell ref="I78:J78"/>
    <mergeCell ref="I75:J75"/>
    <mergeCell ref="I76:J76"/>
    <mergeCell ref="B80:C80"/>
    <mergeCell ref="B73:C73"/>
    <mergeCell ref="I79:J79"/>
    <mergeCell ref="A6:L6"/>
    <mergeCell ref="A45:N45"/>
    <mergeCell ref="A71:D71"/>
    <mergeCell ref="H71:K71"/>
    <mergeCell ref="A40:N40"/>
    <mergeCell ref="M6:N6"/>
    <mergeCell ref="A60:N60"/>
    <mergeCell ref="A65:N65"/>
    <mergeCell ref="A1:N1"/>
    <mergeCell ref="A14:N14"/>
    <mergeCell ref="A8:N8"/>
    <mergeCell ref="A25:N25"/>
    <mergeCell ref="I72:J72"/>
    <mergeCell ref="A20:N20"/>
    <mergeCell ref="A30:N30"/>
    <mergeCell ref="A35:N35"/>
    <mergeCell ref="A50:N50"/>
    <mergeCell ref="A55:N55"/>
  </mergeCells>
  <printOptions/>
  <pageMargins left="0.25" right="0.25" top="0.75" bottom="0.75" header="0.3" footer="0.3"/>
  <pageSetup horizontalDpi="600" verticalDpi="600" orientation="landscape" r:id="rId1"/>
  <rowBreaks count="2" manualBreakCount="2">
    <brk id="33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8.7109375" style="3" customWidth="1"/>
    <col min="2" max="14" width="9.57421875" style="1" customWidth="1"/>
    <col min="15" max="15" width="6.421875" style="1" customWidth="1"/>
    <col min="16" max="17" width="9.140625" style="1" customWidth="1"/>
    <col min="18" max="18" width="9.28125" style="1" customWidth="1"/>
    <col min="19" max="19" width="11.140625" style="1" bestFit="1" customWidth="1"/>
    <col min="20" max="20" width="9.140625" style="1" customWidth="1"/>
    <col min="21" max="21" width="10.57421875" style="1" customWidth="1"/>
    <col min="22" max="16384" width="9.140625" style="1" customWidth="1"/>
  </cols>
  <sheetData>
    <row r="1" spans="1:6" ht="12.75">
      <c r="A1" s="278" t="s">
        <v>26</v>
      </c>
      <c r="B1" s="278"/>
      <c r="C1" s="147" t="s">
        <v>97</v>
      </c>
      <c r="D1" s="68"/>
      <c r="E1" s="68"/>
      <c r="F1" s="68"/>
    </row>
    <row r="2" spans="1:10" ht="12.75">
      <c r="A2" s="278" t="s">
        <v>27</v>
      </c>
      <c r="B2" s="278"/>
      <c r="C2" s="148">
        <v>100000</v>
      </c>
      <c r="H2" s="282" t="s">
        <v>127</v>
      </c>
      <c r="I2" s="282"/>
      <c r="J2" s="207">
        <v>10</v>
      </c>
    </row>
    <row r="3" spans="1:19" ht="12.75">
      <c r="A3" s="278" t="s">
        <v>69</v>
      </c>
      <c r="B3" s="278"/>
      <c r="C3" s="148" t="s">
        <v>132</v>
      </c>
      <c r="D3" s="69">
        <f>SUM('Data Summary'!B17:N17)</f>
        <v>0.05656394539411512</v>
      </c>
      <c r="E3" s="70">
        <f>C2*D3</f>
        <v>5656.394539411512</v>
      </c>
      <c r="F3" s="1" t="s">
        <v>72</v>
      </c>
      <c r="H3" s="282" t="s">
        <v>128</v>
      </c>
      <c r="I3" s="282"/>
      <c r="J3" s="207" t="s">
        <v>126</v>
      </c>
      <c r="Q3" s="113" t="s">
        <v>26</v>
      </c>
      <c r="S3" s="86" t="str">
        <f>$C$1</f>
        <v>XXX</v>
      </c>
    </row>
    <row r="4" spans="1:19" ht="13.5" thickBot="1">
      <c r="A4" s="278" t="s">
        <v>73</v>
      </c>
      <c r="B4" s="278"/>
      <c r="C4" s="149">
        <v>3</v>
      </c>
      <c r="E4" s="146">
        <f>C2*(C4/100)</f>
        <v>3000</v>
      </c>
      <c r="F4" s="61">
        <f>E4/E3</f>
        <v>0.5303731872126654</v>
      </c>
      <c r="H4" s="282" t="s">
        <v>129</v>
      </c>
      <c r="I4" s="282"/>
      <c r="J4" s="207">
        <v>1</v>
      </c>
      <c r="S4" s="86" t="str">
        <f>J4&amp;"-"&amp;J5&amp;" -"&amp;J6</f>
        <v>1-1 -1</v>
      </c>
    </row>
    <row r="5" spans="1:22" ht="15" customHeight="1">
      <c r="A5" s="278" t="s">
        <v>98</v>
      </c>
      <c r="B5" s="278"/>
      <c r="C5" s="148">
        <v>365</v>
      </c>
      <c r="E5" s="146"/>
      <c r="F5" s="61"/>
      <c r="H5" s="278" t="s">
        <v>48</v>
      </c>
      <c r="I5" s="278"/>
      <c r="J5" s="151">
        <v>1</v>
      </c>
      <c r="Q5" s="283" t="s">
        <v>93</v>
      </c>
      <c r="R5" s="284"/>
      <c r="S5" s="284"/>
      <c r="T5" s="284"/>
      <c r="U5" s="284"/>
      <c r="V5" s="285"/>
    </row>
    <row r="6" spans="1:22" ht="12.75">
      <c r="A6" s="278" t="s">
        <v>28</v>
      </c>
      <c r="B6" s="278"/>
      <c r="C6" s="150" t="s">
        <v>154</v>
      </c>
      <c r="D6" s="1" t="s">
        <v>30</v>
      </c>
      <c r="I6" s="196" t="s">
        <v>130</v>
      </c>
      <c r="J6" s="207">
        <v>1</v>
      </c>
      <c r="Q6" s="161" t="s">
        <v>96</v>
      </c>
      <c r="R6" s="201" t="str">
        <f>J3</f>
        <v>FRE</v>
      </c>
      <c r="S6" s="156" t="s">
        <v>95</v>
      </c>
      <c r="T6" s="8" t="s">
        <v>101</v>
      </c>
      <c r="U6" s="8" t="s">
        <v>102</v>
      </c>
      <c r="V6" s="168" t="s">
        <v>108</v>
      </c>
    </row>
    <row r="7" spans="1:23" ht="12.75">
      <c r="A7" s="278" t="s">
        <v>29</v>
      </c>
      <c r="B7" s="278"/>
      <c r="C7" s="154">
        <f>1609.344</f>
        <v>1609.344</v>
      </c>
      <c r="D7" s="1" t="s">
        <v>31</v>
      </c>
      <c r="E7" s="70">
        <f>C7*3.281</f>
        <v>5280.257664000001</v>
      </c>
      <c r="F7" s="1" t="s">
        <v>32</v>
      </c>
      <c r="Q7" s="161">
        <v>0</v>
      </c>
      <c r="R7" s="202" t="e">
        <f>'Scalar Factors'!L3</f>
        <v>#DIV/0!</v>
      </c>
      <c r="S7" s="157" t="e">
        <f>(R7/$R$31)</f>
        <v>#DIV/0!</v>
      </c>
      <c r="T7" s="158" t="e">
        <f>$N$43*S7</f>
        <v>#DIV/0!</v>
      </c>
      <c r="U7" s="159" t="e">
        <f>SUM(B$15:N$15)*S7</f>
        <v>#DIV/0!</v>
      </c>
      <c r="V7" s="171" t="e">
        <f aca="true" t="shared" si="0" ref="V7:V30">((T7/$E$7)*5280)*453.6/U7</f>
        <v>#DIV/0!</v>
      </c>
      <c r="W7" s="155"/>
    </row>
    <row r="8" spans="1:23" ht="12.75">
      <c r="A8" s="278" t="s">
        <v>34</v>
      </c>
      <c r="B8" s="278"/>
      <c r="C8" s="151">
        <v>2014</v>
      </c>
      <c r="E8" s="70"/>
      <c r="Q8" s="161">
        <v>1</v>
      </c>
      <c r="R8" s="202" t="e">
        <f>'Scalar Factors'!L4</f>
        <v>#DIV/0!</v>
      </c>
      <c r="S8" s="157" t="e">
        <f aca="true" t="shared" si="1" ref="S8:S30">(R8/$R$31)</f>
        <v>#DIV/0!</v>
      </c>
      <c r="T8" s="158" t="e">
        <f aca="true" t="shared" si="2" ref="T8:T30">$N$43*S8</f>
        <v>#DIV/0!</v>
      </c>
      <c r="U8" s="159" t="e">
        <f aca="true" t="shared" si="3" ref="U8:U30">SUM(B$15:N$15)*S8</f>
        <v>#DIV/0!</v>
      </c>
      <c r="V8" s="171" t="e">
        <f t="shared" si="0"/>
        <v>#DIV/0!</v>
      </c>
      <c r="W8" s="155"/>
    </row>
    <row r="9" spans="5:23" ht="12.75">
      <c r="E9" s="70"/>
      <c r="Q9" s="161">
        <v>2</v>
      </c>
      <c r="R9" s="202" t="e">
        <f>'Scalar Factors'!L5</f>
        <v>#DIV/0!</v>
      </c>
      <c r="S9" s="157" t="e">
        <f t="shared" si="1"/>
        <v>#DIV/0!</v>
      </c>
      <c r="T9" s="158" t="e">
        <f t="shared" si="2"/>
        <v>#DIV/0!</v>
      </c>
      <c r="U9" s="159" t="e">
        <f t="shared" si="3"/>
        <v>#DIV/0!</v>
      </c>
      <c r="V9" s="171" t="e">
        <f t="shared" si="0"/>
        <v>#DIV/0!</v>
      </c>
      <c r="W9" s="155"/>
    </row>
    <row r="10" spans="2:23" ht="13.5" thickBot="1">
      <c r="B10" s="67"/>
      <c r="Q10" s="161">
        <v>3</v>
      </c>
      <c r="R10" s="202" t="e">
        <f>'Scalar Factors'!L6</f>
        <v>#DIV/0!</v>
      </c>
      <c r="S10" s="157" t="e">
        <f t="shared" si="1"/>
        <v>#DIV/0!</v>
      </c>
      <c r="T10" s="158" t="e">
        <f t="shared" si="2"/>
        <v>#DIV/0!</v>
      </c>
      <c r="U10" s="159" t="e">
        <f t="shared" si="3"/>
        <v>#DIV/0!</v>
      </c>
      <c r="V10" s="171" t="e">
        <f t="shared" si="0"/>
        <v>#DIV/0!</v>
      </c>
      <c r="W10" s="155"/>
    </row>
    <row r="11" spans="1:23" ht="12.75">
      <c r="A11" s="292" t="s">
        <v>145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4"/>
      <c r="Q11" s="161">
        <v>4</v>
      </c>
      <c r="R11" s="202" t="e">
        <f>'Scalar Factors'!L7</f>
        <v>#DIV/0!</v>
      </c>
      <c r="S11" s="157" t="e">
        <f t="shared" si="1"/>
        <v>#DIV/0!</v>
      </c>
      <c r="T11" s="158" t="e">
        <f t="shared" si="2"/>
        <v>#DIV/0!</v>
      </c>
      <c r="U11" s="159" t="e">
        <f t="shared" si="3"/>
        <v>#DIV/0!</v>
      </c>
      <c r="V11" s="171" t="e">
        <f t="shared" si="0"/>
        <v>#DIV/0!</v>
      </c>
      <c r="W11" s="155"/>
    </row>
    <row r="12" spans="1:23" ht="12.75">
      <c r="A12" s="71" t="s">
        <v>3</v>
      </c>
      <c r="B12" s="45" t="s">
        <v>8</v>
      </c>
      <c r="C12" s="45" t="s">
        <v>9</v>
      </c>
      <c r="D12" s="45" t="s">
        <v>10</v>
      </c>
      <c r="E12" s="45" t="s">
        <v>11</v>
      </c>
      <c r="F12" s="45" t="s">
        <v>12</v>
      </c>
      <c r="G12" s="45" t="s">
        <v>13</v>
      </c>
      <c r="H12" s="45" t="s">
        <v>14</v>
      </c>
      <c r="I12" s="45" t="s">
        <v>15</v>
      </c>
      <c r="J12" s="45" t="s">
        <v>16</v>
      </c>
      <c r="K12" s="45" t="s">
        <v>17</v>
      </c>
      <c r="L12" s="45" t="s">
        <v>18</v>
      </c>
      <c r="M12" s="45" t="s">
        <v>19</v>
      </c>
      <c r="N12" s="46" t="s">
        <v>21</v>
      </c>
      <c r="Q12" s="161">
        <v>5</v>
      </c>
      <c r="R12" s="202" t="e">
        <f>'Scalar Factors'!L8</f>
        <v>#DIV/0!</v>
      </c>
      <c r="S12" s="157" t="e">
        <f t="shared" si="1"/>
        <v>#DIV/0!</v>
      </c>
      <c r="T12" s="158" t="e">
        <f t="shared" si="2"/>
        <v>#DIV/0!</v>
      </c>
      <c r="U12" s="159" t="e">
        <f t="shared" si="3"/>
        <v>#DIV/0!</v>
      </c>
      <c r="V12" s="171" t="e">
        <f t="shared" si="0"/>
        <v>#DIV/0!</v>
      </c>
      <c r="W12" s="155"/>
    </row>
    <row r="13" spans="1:23" ht="12.75">
      <c r="A13" s="71" t="s">
        <v>22</v>
      </c>
      <c r="B13" s="18">
        <f>IF($C$3="Y",$C2*'Data Summary'!B16,IF($C2*'Data Summary'!B16-(($C2*'Data Summary'!B17)*($F$4-1))&lt;0,0,$C2*'Data Summary'!B16-(($C2*'Data Summary'!B17)*($F$4-1))))</f>
        <v>45172.93181332755</v>
      </c>
      <c r="C13" s="18">
        <f>IF($C$3="Y",$C2*'Data Summary'!C16,IF($C2*'Data Summary'!C16-(($C2*'Data Summary'!C17)*($F$4-1))&lt;0,0,$C2*'Data Summary'!C16-(($C2*'Data Summary'!C17)*($F$4-1))))</f>
        <v>7036.6072104919</v>
      </c>
      <c r="D13" s="18">
        <f>IF($C$3="Y",$C2*'Data Summary'!D16,IF($C2*'Data Summary'!D16-(($C2*'Data Summary'!D17)*($F$4-1))&lt;0,0,$C2*'Data Summary'!D16-(($C2*'Data Summary'!D17)*($F$4-1))))</f>
        <v>16672.91174498843</v>
      </c>
      <c r="E13" s="18">
        <f>IF($C$3="Y",$C2*'Data Summary'!E16,IF($C2*'Data Summary'!E16-(($C2*'Data Summary'!E17)*($F$4-1))&lt;0,0,$C2*'Data Summary'!E16-(($C2*'Data Summary'!E17)*($F$4-1))))</f>
        <v>2740.2828591485304</v>
      </c>
      <c r="F13" s="18">
        <f>IF($C$3="Y",$C2*'Data Summary'!F16,IF($C2*'Data Summary'!F16-(($C2*'Data Summary'!F17)*($F$4-1))&lt;0,0,$C2*'Data Summary'!F16-(($C2*'Data Summary'!F17)*($F$4-1))))</f>
        <v>280.33778883453067</v>
      </c>
      <c r="G13" s="18">
        <f>IF($C$3="Y",$C2*'Data Summary'!G16,IF($C2*'Data Summary'!G16-(($C2*'Data Summary'!G17)*($F$4-1))&lt;0,0,$C2*'Data Summary'!G16-(($C2*'Data Summary'!G17)*($F$4-1))))</f>
        <v>18751.97947198481</v>
      </c>
      <c r="H13" s="18">
        <f>IF($C$3="Y",$C2*'Data Summary'!H16,IF($C2*'Data Summary'!H16-(($C2*'Data Summary'!H17)*($F$4-1))&lt;0,0,$C2*'Data Summary'!H16-(($C2*'Data Summary'!H17)*($F$4-1))))</f>
        <v>498.07969237175024</v>
      </c>
      <c r="I13" s="18">
        <f>IF($C$3="Y",$C2*'Data Summary'!I16,IF($C2*'Data Summary'!I16-(($C2*'Data Summary'!I17)*($F$4-1))&lt;0,0,$C2*'Data Summary'!I16-(($C2*'Data Summary'!I17)*($F$4-1))))</f>
        <v>71.12319886764362</v>
      </c>
      <c r="J13" s="18">
        <f>IF($C$3="Y",$C2*'Data Summary'!J16,IF($C2*'Data Summary'!J16-(($C2*'Data Summary'!J17)*($F$4-1))&lt;0,0,$C2*'Data Summary'!J16-(($C2*'Data Summary'!J17)*($F$4-1))))</f>
        <v>18.055393564292647</v>
      </c>
      <c r="K13" s="18">
        <f>IF($C$3="Y",$C2*'Data Summary'!K16,IF($C2*'Data Summary'!K16-(($C2*'Data Summary'!K17)*($F$4-1))&lt;0,0,$C2*'Data Summary'!K16-(($C2*'Data Summary'!K17)*($F$4-1))))</f>
        <v>235.8134176075965</v>
      </c>
      <c r="L13" s="18">
        <f>IF($C$3="Y",$C2*'Data Summary'!L16,IF($C2*'Data Summary'!L16-(($C2*'Data Summary'!L17)*($F$4-1))&lt;0,0,$C2*'Data Summary'!L16-(($C2*'Data Summary'!L17)*($F$4-1))))</f>
        <v>12.554561024565874</v>
      </c>
      <c r="M13" s="18">
        <f>IF($C$3="Y",$C2*'Data Summary'!M16,IF($C2*'Data Summary'!M16-(($C2*'Data Summary'!M17)*($F$4-1))&lt;0,0,$C2*'Data Summary'!M16-(($C2*'Data Summary'!M17)*($F$4-1))))</f>
        <v>14.92789609364728</v>
      </c>
      <c r="N13" s="19">
        <f>IF($C$3="Y",$C2*'Data Summary'!N16,IF($C2*'Data Summary'!N16-(($C2*'Data Summary'!N17)*($F$4-1))&lt;0,0,$C2*'Data Summary'!N16-(($C2*'Data Summary'!N17)*($F$4-1))))</f>
        <v>2838.0004122832443</v>
      </c>
      <c r="P13" s="72"/>
      <c r="Q13" s="161">
        <v>6</v>
      </c>
      <c r="R13" s="202" t="e">
        <f>'Scalar Factors'!L9</f>
        <v>#DIV/0!</v>
      </c>
      <c r="S13" s="157" t="e">
        <f t="shared" si="1"/>
        <v>#DIV/0!</v>
      </c>
      <c r="T13" s="158" t="e">
        <f t="shared" si="2"/>
        <v>#DIV/0!</v>
      </c>
      <c r="U13" s="159" t="e">
        <f t="shared" si="3"/>
        <v>#DIV/0!</v>
      </c>
      <c r="V13" s="171" t="e">
        <f t="shared" si="0"/>
        <v>#DIV/0!</v>
      </c>
      <c r="W13" s="155"/>
    </row>
    <row r="14" spans="1:23" ht="12.75">
      <c r="A14" s="71" t="s">
        <v>7</v>
      </c>
      <c r="B14" s="18">
        <f>IF($C$3="Y",$C2*'Data Summary'!B17,$C2*'Data Summary'!B17*($E$4/$E$3))</f>
        <v>132.7872856457298</v>
      </c>
      <c r="C14" s="18">
        <f>IF($C$3="Y",$C2*'Data Summary'!C17,$C2*'Data Summary'!C17*($E$4/$E$3))</f>
        <v>9.201873174817258</v>
      </c>
      <c r="D14" s="18">
        <f>IF($C$3="Y",$C2*'Data Summary'!D17,$C2*'Data Summary'!D17*($E$4/$E$3))</f>
        <v>7.996372747622844</v>
      </c>
      <c r="E14" s="18">
        <f>IF($C$3="Y",$C2*'Data Summary'!E17,$C2*'Data Summary'!E17*($E$4/$E$3))</f>
        <v>1665.150594378866</v>
      </c>
      <c r="F14" s="18">
        <f>IF($C$3="Y",$C2*'Data Summary'!F17,$C2*'Data Summary'!F17*($E$4/$E$3))</f>
        <v>454.40594775789566</v>
      </c>
      <c r="G14" s="18">
        <f>IF($C$3="Y",$C2*'Data Summary'!G17,$C2*'Data Summary'!G17*($E$4/$E$3))</f>
        <v>14.485146538427719</v>
      </c>
      <c r="H14" s="18">
        <f>IF($C$3="Y",$C2*'Data Summary'!H17,$C2*'Data Summary'!H17*($E$4/$E$3))</f>
        <v>109.53919195292954</v>
      </c>
      <c r="I14" s="18">
        <f>IF($C$3="Y",$C2*'Data Summary'!I17,$C2*'Data Summary'!I17*($E$4/$E$3))</f>
        <v>61.4216706456984</v>
      </c>
      <c r="J14" s="18">
        <f>IF($C$3="Y",$C2*'Data Summary'!J17,$C2*'Data Summary'!J17*($E$4/$E$3))</f>
        <v>69.28694085420356</v>
      </c>
      <c r="K14" s="18">
        <f>IF($C$3="Y",$C2*'Data Summary'!K17,$C2*'Data Summary'!K17*($E$4/$E$3))</f>
        <v>1203.7000677886458</v>
      </c>
      <c r="L14" s="18">
        <f>IF($C$3="Y",$C2*'Data Summary'!L17,$C2*'Data Summary'!L17*($E$4/$E$3))</f>
        <v>1891.6207769611372</v>
      </c>
      <c r="M14" s="18">
        <f>IF($C$3="Y",$C2*'Data Summary'!M17,$C2*'Data Summary'!M17*($E$4/$E$3))</f>
        <v>36.79867096553862</v>
      </c>
      <c r="N14" s="19">
        <f>IF($C$3="Y",$C2*'Data Summary'!N17,$C2*'Data Summary'!N17*($E$4/$E$3))</f>
        <v>0</v>
      </c>
      <c r="O14" s="152"/>
      <c r="P14" s="72"/>
      <c r="Q14" s="161">
        <v>7</v>
      </c>
      <c r="R14" s="202" t="e">
        <f>'Scalar Factors'!L10</f>
        <v>#DIV/0!</v>
      </c>
      <c r="S14" s="157" t="e">
        <f t="shared" si="1"/>
        <v>#DIV/0!</v>
      </c>
      <c r="T14" s="158" t="e">
        <f t="shared" si="2"/>
        <v>#DIV/0!</v>
      </c>
      <c r="U14" s="159" t="e">
        <f t="shared" si="3"/>
        <v>#DIV/0!</v>
      </c>
      <c r="V14" s="171" t="e">
        <f t="shared" si="0"/>
        <v>#DIV/0!</v>
      </c>
      <c r="W14" s="155"/>
    </row>
    <row r="15" spans="1:23" ht="13.5" thickBot="1">
      <c r="A15" s="73" t="s">
        <v>25</v>
      </c>
      <c r="B15" s="22">
        <f>SUM(B13:B14)</f>
        <v>45305.719098973284</v>
      </c>
      <c r="C15" s="22">
        <f aca="true" t="shared" si="4" ref="C15:N15">SUM(C13:C14)</f>
        <v>7045.809083666718</v>
      </c>
      <c r="D15" s="22">
        <f t="shared" si="4"/>
        <v>16680.908117736053</v>
      </c>
      <c r="E15" s="22">
        <f t="shared" si="4"/>
        <v>4405.4334535273965</v>
      </c>
      <c r="F15" s="22">
        <f t="shared" si="4"/>
        <v>734.7437365924263</v>
      </c>
      <c r="G15" s="22">
        <f t="shared" si="4"/>
        <v>18766.464618523238</v>
      </c>
      <c r="H15" s="22">
        <f t="shared" si="4"/>
        <v>607.6188843246798</v>
      </c>
      <c r="I15" s="22">
        <f t="shared" si="4"/>
        <v>132.544869513342</v>
      </c>
      <c r="J15" s="22">
        <f t="shared" si="4"/>
        <v>87.34233441849621</v>
      </c>
      <c r="K15" s="22">
        <f t="shared" si="4"/>
        <v>1439.5134853962422</v>
      </c>
      <c r="L15" s="22">
        <f t="shared" si="4"/>
        <v>1904.175337985703</v>
      </c>
      <c r="M15" s="22">
        <f t="shared" si="4"/>
        <v>51.726567059185896</v>
      </c>
      <c r="N15" s="23">
        <f t="shared" si="4"/>
        <v>2838.0004122832443</v>
      </c>
      <c r="O15" s="152"/>
      <c r="P15" s="72"/>
      <c r="Q15" s="161">
        <v>8</v>
      </c>
      <c r="R15" s="202" t="e">
        <f>'Scalar Factors'!L11</f>
        <v>#DIV/0!</v>
      </c>
      <c r="S15" s="157" t="e">
        <f t="shared" si="1"/>
        <v>#DIV/0!</v>
      </c>
      <c r="T15" s="158" t="e">
        <f t="shared" si="2"/>
        <v>#DIV/0!</v>
      </c>
      <c r="U15" s="159" t="e">
        <f t="shared" si="3"/>
        <v>#DIV/0!</v>
      </c>
      <c r="V15" s="171" t="e">
        <f t="shared" si="0"/>
        <v>#DIV/0!</v>
      </c>
      <c r="W15" s="155"/>
    </row>
    <row r="16" spans="17:23" ht="13.5" thickBot="1">
      <c r="Q16" s="161">
        <v>9</v>
      </c>
      <c r="R16" s="202" t="e">
        <f>'Scalar Factors'!L12</f>
        <v>#DIV/0!</v>
      </c>
      <c r="S16" s="157" t="e">
        <f t="shared" si="1"/>
        <v>#DIV/0!</v>
      </c>
      <c r="T16" s="158" t="e">
        <f t="shared" si="2"/>
        <v>#DIV/0!</v>
      </c>
      <c r="U16" s="159" t="e">
        <f t="shared" si="3"/>
        <v>#DIV/0!</v>
      </c>
      <c r="V16" s="171" t="e">
        <f t="shared" si="0"/>
        <v>#DIV/0!</v>
      </c>
      <c r="W16" s="155"/>
    </row>
    <row r="17" spans="1:23" ht="12.75">
      <c r="A17" s="259" t="s">
        <v>143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8"/>
      <c r="Q17" s="161">
        <v>10</v>
      </c>
      <c r="R17" s="202" t="e">
        <f>'Scalar Factors'!L13</f>
        <v>#DIV/0!</v>
      </c>
      <c r="S17" s="157" t="e">
        <f t="shared" si="1"/>
        <v>#DIV/0!</v>
      </c>
      <c r="T17" s="158" t="e">
        <f t="shared" si="2"/>
        <v>#DIV/0!</v>
      </c>
      <c r="U17" s="159" t="e">
        <f t="shared" si="3"/>
        <v>#DIV/0!</v>
      </c>
      <c r="V17" s="171" t="e">
        <f t="shared" si="0"/>
        <v>#DIV/0!</v>
      </c>
      <c r="W17" s="155"/>
    </row>
    <row r="18" spans="1:23" ht="12.75">
      <c r="A18" s="71" t="s">
        <v>3</v>
      </c>
      <c r="B18" s="45" t="s">
        <v>8</v>
      </c>
      <c r="C18" s="45" t="s">
        <v>9</v>
      </c>
      <c r="D18" s="45" t="s">
        <v>10</v>
      </c>
      <c r="E18" s="45" t="s">
        <v>11</v>
      </c>
      <c r="F18" s="45" t="s">
        <v>12</v>
      </c>
      <c r="G18" s="45" t="s">
        <v>13</v>
      </c>
      <c r="H18" s="45" t="s">
        <v>14</v>
      </c>
      <c r="I18" s="45" t="s">
        <v>15</v>
      </c>
      <c r="J18" s="45" t="s">
        <v>16</v>
      </c>
      <c r="K18" s="45" t="s">
        <v>17</v>
      </c>
      <c r="L18" s="45" t="s">
        <v>18</v>
      </c>
      <c r="M18" s="45" t="s">
        <v>19</v>
      </c>
      <c r="N18" s="46" t="s">
        <v>21</v>
      </c>
      <c r="Q18" s="161">
        <v>11</v>
      </c>
      <c r="R18" s="202" t="e">
        <f>'Scalar Factors'!L14</f>
        <v>#DIV/0!</v>
      </c>
      <c r="S18" s="157" t="e">
        <f t="shared" si="1"/>
        <v>#DIV/0!</v>
      </c>
      <c r="T18" s="158" t="e">
        <f t="shared" si="2"/>
        <v>#DIV/0!</v>
      </c>
      <c r="U18" s="159" t="e">
        <f t="shared" si="3"/>
        <v>#DIV/0!</v>
      </c>
      <c r="V18" s="171" t="e">
        <f t="shared" si="0"/>
        <v>#DIV/0!</v>
      </c>
      <c r="W18" s="155"/>
    </row>
    <row r="19" spans="1:23" ht="12.75">
      <c r="A19" s="71" t="s">
        <v>22</v>
      </c>
      <c r="B19" s="74">
        <f>(B13*(($E$7/5280)*'Data Summary'!B22))/453.6</f>
        <v>5.523770253737825</v>
      </c>
      <c r="C19" s="74">
        <f>(C13*(($E$7/5280)*'Data Summary'!C22))/453.6</f>
        <v>2.135142497920626</v>
      </c>
      <c r="D19" s="74">
        <f>(D13*(($E$7/5280)*'Data Summary'!D22))/453.6</f>
        <v>2.985797829917145</v>
      </c>
      <c r="E19" s="74">
        <f>(E13*(($E$7/5280)*'Data Summary'!E22))/453.6</f>
        <v>1.8172986401984654</v>
      </c>
      <c r="F19" s="74">
        <f>(F13*(($E$7/5280)*'Data Summary'!F22))/453.6</f>
        <v>0.15145783463165677</v>
      </c>
      <c r="G19" s="74">
        <f>(G13*(($E$7/5280)*'Data Summary'!G22))/453.6</f>
        <v>4.48300606359541</v>
      </c>
      <c r="H19" s="74">
        <f>(H13*(($E$7/5280)*'Data Summary'!H22))/453.6</f>
        <v>0.3608593854885278</v>
      </c>
      <c r="I19" s="74">
        <f>(I13*(($E$7/5280)*'Data Summary'!I22))/453.6</f>
        <v>0.05277317222273524</v>
      </c>
      <c r="J19" s="74">
        <f>(J13*(($E$7/5280)*'Data Summary'!J22))/453.6</f>
        <v>0.10160873847001162</v>
      </c>
      <c r="K19" s="74">
        <f>(K13*(($E$7/5280)*'Data Summary'!K22))/453.6</f>
        <v>0.24074522220288133</v>
      </c>
      <c r="L19" s="74">
        <f>(L13*(($E$7/5280)*'Data Summary'!L22))/453.6</f>
        <v>0.03225183881687994</v>
      </c>
      <c r="M19" s="74">
        <f>(M13*(($E$7/5280)*'Data Summary'!M22))/453.6</f>
        <v>0.0346373976180468</v>
      </c>
      <c r="N19" s="75">
        <f>(N13*(($E$7/5280)*'Data Summary'!N22))/453.6</f>
        <v>21.75194973562554</v>
      </c>
      <c r="Q19" s="161">
        <v>12</v>
      </c>
      <c r="R19" s="202" t="e">
        <f>'Scalar Factors'!L15</f>
        <v>#DIV/0!</v>
      </c>
      <c r="S19" s="157" t="e">
        <f t="shared" si="1"/>
        <v>#DIV/0!</v>
      </c>
      <c r="T19" s="158" t="e">
        <f t="shared" si="2"/>
        <v>#DIV/0!</v>
      </c>
      <c r="U19" s="159" t="e">
        <f t="shared" si="3"/>
        <v>#DIV/0!</v>
      </c>
      <c r="V19" s="171" t="e">
        <f t="shared" si="0"/>
        <v>#DIV/0!</v>
      </c>
      <c r="W19" s="155"/>
    </row>
    <row r="20" spans="1:23" ht="12.75">
      <c r="A20" s="71" t="s">
        <v>7</v>
      </c>
      <c r="B20" s="74">
        <f>(B14*(($E$7/5280)*'Data Summary'!B23))/453.6</f>
        <v>0.01290344427458764</v>
      </c>
      <c r="C20" s="74">
        <f>(C14*(($E$7/5280)*'Data Summary'!C23))/453.6</f>
        <v>0.001439089000178691</v>
      </c>
      <c r="D20" s="74">
        <f>(D14*(($E$7/5280)*'Data Summary'!D23))/453.6</f>
        <v>0.0008464626725825793</v>
      </c>
      <c r="E20" s="74">
        <f>(E14*(($E$7/5280)*'Data Summary'!E23))/453.6</f>
        <v>0.9632624627685256</v>
      </c>
      <c r="F20" s="74">
        <f>(F14*(($E$7/5280)*'Data Summary'!F23))/453.6</f>
        <v>0.25041956190995696</v>
      </c>
      <c r="G20" s="74">
        <f>(G14*(($E$7/5280)*'Data Summary'!G23))/453.6</f>
        <v>0.0013661815015086768</v>
      </c>
      <c r="H20" s="74">
        <f>(H14*(($E$7/5280)*'Data Summary'!H23))/453.6</f>
        <v>0.06762201984287561</v>
      </c>
      <c r="I20" s="74">
        <f>(I14*(($E$7/5280)*'Data Summary'!I23))/453.6</f>
        <v>0.04761059088297781</v>
      </c>
      <c r="J20" s="74">
        <f>(J14*(($E$7/5280)*'Data Summary'!J23))/453.6</f>
        <v>0.037049988879099854</v>
      </c>
      <c r="K20" s="74">
        <f>(K14*(($E$7/5280)*'Data Summary'!K23))/453.6</f>
        <v>1.0275299523658454</v>
      </c>
      <c r="L20" s="74">
        <f>(L14*(($E$7/5280)*'Data Summary'!L23))/453.6</f>
        <v>1.5319995565613183</v>
      </c>
      <c r="M20" s="74">
        <f>(M14*(($E$7/5280)*'Data Summary'!M23))/453.6</f>
        <v>0.04668765834533629</v>
      </c>
      <c r="N20" s="75">
        <f>(N14*(($E$7/5280)*'Data Summary'!N23))/453.6</f>
        <v>0</v>
      </c>
      <c r="Q20" s="161">
        <v>13</v>
      </c>
      <c r="R20" s="202" t="e">
        <f>'Scalar Factors'!L16</f>
        <v>#DIV/0!</v>
      </c>
      <c r="S20" s="157" t="e">
        <f t="shared" si="1"/>
        <v>#DIV/0!</v>
      </c>
      <c r="T20" s="158" t="e">
        <f t="shared" si="2"/>
        <v>#DIV/0!</v>
      </c>
      <c r="U20" s="159" t="e">
        <f t="shared" si="3"/>
        <v>#DIV/0!</v>
      </c>
      <c r="V20" s="171" t="e">
        <f t="shared" si="0"/>
        <v>#DIV/0!</v>
      </c>
      <c r="W20" s="155"/>
    </row>
    <row r="21" spans="1:23" ht="13.5" thickBot="1">
      <c r="A21" s="73" t="s">
        <v>33</v>
      </c>
      <c r="B21" s="76">
        <f>SUM(B19:B20)</f>
        <v>5.536673698012413</v>
      </c>
      <c r="C21" s="76">
        <f aca="true" t="shared" si="5" ref="C21:N21">SUM(C19:C20)</f>
        <v>2.136581586920805</v>
      </c>
      <c r="D21" s="76">
        <f t="shared" si="5"/>
        <v>2.9866442925897276</v>
      </c>
      <c r="E21" s="76">
        <f t="shared" si="5"/>
        <v>2.780561102966991</v>
      </c>
      <c r="F21" s="76">
        <f t="shared" si="5"/>
        <v>0.4018773965416137</v>
      </c>
      <c r="G21" s="76">
        <f t="shared" si="5"/>
        <v>4.484372245096919</v>
      </c>
      <c r="H21" s="76">
        <f t="shared" si="5"/>
        <v>0.42848140533140344</v>
      </c>
      <c r="I21" s="76">
        <f t="shared" si="5"/>
        <v>0.10038376310571305</v>
      </c>
      <c r="J21" s="76">
        <f t="shared" si="5"/>
        <v>0.13865872734911147</v>
      </c>
      <c r="K21" s="76">
        <f t="shared" si="5"/>
        <v>1.2682751745687268</v>
      </c>
      <c r="L21" s="76">
        <f t="shared" si="5"/>
        <v>1.5642513953781982</v>
      </c>
      <c r="M21" s="76">
        <f t="shared" si="5"/>
        <v>0.08132505596338309</v>
      </c>
      <c r="N21" s="77">
        <f t="shared" si="5"/>
        <v>21.75194973562554</v>
      </c>
      <c r="Q21" s="161">
        <v>14</v>
      </c>
      <c r="R21" s="202" t="e">
        <f>'Scalar Factors'!L17</f>
        <v>#DIV/0!</v>
      </c>
      <c r="S21" s="157" t="e">
        <f t="shared" si="1"/>
        <v>#DIV/0!</v>
      </c>
      <c r="T21" s="158" t="e">
        <f t="shared" si="2"/>
        <v>#DIV/0!</v>
      </c>
      <c r="U21" s="159" t="e">
        <f t="shared" si="3"/>
        <v>#DIV/0!</v>
      </c>
      <c r="V21" s="171" t="e">
        <f t="shared" si="0"/>
        <v>#DIV/0!</v>
      </c>
      <c r="W21" s="155"/>
    </row>
    <row r="22" spans="1:23" ht="12.7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 t="s">
        <v>100</v>
      </c>
      <c r="L22" s="172">
        <f>N22*$C$5</f>
        <v>15935.91298649945</v>
      </c>
      <c r="M22" s="79" t="s">
        <v>99</v>
      </c>
      <c r="N22" s="79">
        <f>SUM(B21:N21)</f>
        <v>43.66003557945055</v>
      </c>
      <c r="Q22" s="161">
        <v>15</v>
      </c>
      <c r="R22" s="202" t="e">
        <f>'Scalar Factors'!L18</f>
        <v>#DIV/0!</v>
      </c>
      <c r="S22" s="157" t="e">
        <f t="shared" si="1"/>
        <v>#DIV/0!</v>
      </c>
      <c r="T22" s="158" t="e">
        <f t="shared" si="2"/>
        <v>#DIV/0!</v>
      </c>
      <c r="U22" s="159" t="e">
        <f t="shared" si="3"/>
        <v>#DIV/0!</v>
      </c>
      <c r="V22" s="171" t="e">
        <f t="shared" si="0"/>
        <v>#DIV/0!</v>
      </c>
      <c r="W22" s="155"/>
    </row>
    <row r="23" spans="1:23" ht="13.5" thickBo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M23" s="79" t="s">
        <v>20</v>
      </c>
      <c r="N23" s="79">
        <f>SUM(B19:N19)</f>
        <v>39.67129861044575</v>
      </c>
      <c r="Q23" s="161">
        <v>16</v>
      </c>
      <c r="R23" s="202" t="e">
        <f>'Scalar Factors'!L19</f>
        <v>#DIV/0!</v>
      </c>
      <c r="S23" s="157" t="e">
        <f t="shared" si="1"/>
        <v>#DIV/0!</v>
      </c>
      <c r="T23" s="158" t="e">
        <f t="shared" si="2"/>
        <v>#DIV/0!</v>
      </c>
      <c r="U23" s="159" t="e">
        <f t="shared" si="3"/>
        <v>#DIV/0!</v>
      </c>
      <c r="V23" s="171" t="e">
        <f t="shared" si="0"/>
        <v>#DIV/0!</v>
      </c>
      <c r="W23" s="155"/>
    </row>
    <row r="24" spans="1:23" ht="12.75">
      <c r="A24" s="259" t="s">
        <v>144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8"/>
      <c r="Q24" s="161">
        <v>17</v>
      </c>
      <c r="R24" s="202" t="e">
        <f>'Scalar Factors'!L20</f>
        <v>#DIV/0!</v>
      </c>
      <c r="S24" s="157" t="e">
        <f t="shared" si="1"/>
        <v>#DIV/0!</v>
      </c>
      <c r="T24" s="158" t="e">
        <f t="shared" si="2"/>
        <v>#DIV/0!</v>
      </c>
      <c r="U24" s="159" t="e">
        <f t="shared" si="3"/>
        <v>#DIV/0!</v>
      </c>
      <c r="V24" s="171" t="e">
        <f t="shared" si="0"/>
        <v>#DIV/0!</v>
      </c>
      <c r="W24" s="155"/>
    </row>
    <row r="25" spans="1:23" ht="12.75">
      <c r="A25" s="71" t="s">
        <v>3</v>
      </c>
      <c r="B25" s="45" t="s">
        <v>8</v>
      </c>
      <c r="C25" s="45" t="s">
        <v>9</v>
      </c>
      <c r="D25" s="45" t="s">
        <v>10</v>
      </c>
      <c r="E25" s="45" t="s">
        <v>11</v>
      </c>
      <c r="F25" s="45" t="s">
        <v>12</v>
      </c>
      <c r="G25" s="45" t="s">
        <v>13</v>
      </c>
      <c r="H25" s="45" t="s">
        <v>14</v>
      </c>
      <c r="I25" s="45" t="s">
        <v>15</v>
      </c>
      <c r="J25" s="45" t="s">
        <v>16</v>
      </c>
      <c r="K25" s="45" t="s">
        <v>17</v>
      </c>
      <c r="L25" s="45" t="s">
        <v>18</v>
      </c>
      <c r="M25" s="45" t="s">
        <v>19</v>
      </c>
      <c r="N25" s="46" t="s">
        <v>21</v>
      </c>
      <c r="Q25" s="161">
        <v>18</v>
      </c>
      <c r="R25" s="202" t="e">
        <f>'Scalar Factors'!L21</f>
        <v>#DIV/0!</v>
      </c>
      <c r="S25" s="157" t="e">
        <f t="shared" si="1"/>
        <v>#DIV/0!</v>
      </c>
      <c r="T25" s="158" t="e">
        <f t="shared" si="2"/>
        <v>#DIV/0!</v>
      </c>
      <c r="U25" s="159" t="e">
        <f t="shared" si="3"/>
        <v>#DIV/0!</v>
      </c>
      <c r="V25" s="171" t="e">
        <f t="shared" si="0"/>
        <v>#DIV/0!</v>
      </c>
      <c r="W25" s="155"/>
    </row>
    <row r="26" spans="1:23" ht="12.75">
      <c r="A26" s="71" t="s">
        <v>22</v>
      </c>
      <c r="B26" s="74">
        <f>(B13*(($E$7/5280)*'Data Summary'!B27))/453.6</f>
        <v>6.006672992612258</v>
      </c>
      <c r="C26" s="74">
        <f>(C13*(($E$7/5280)*'Data Summary'!C27))/453.6</f>
        <v>2.7905493255039078</v>
      </c>
      <c r="D26" s="74">
        <f>(D13*(($E$7/5280)*'Data Summary'!D27))/453.6</f>
        <v>3.630288474620472</v>
      </c>
      <c r="E26" s="74">
        <f>(E13*(($E$7/5280)*'Data Summary'!E27))/453.6</f>
        <v>1.2821771480404012</v>
      </c>
      <c r="F26" s="74">
        <f>(F13*(($E$7/5280)*'Data Summary'!F27))/453.6</f>
        <v>0.13815329956684075</v>
      </c>
      <c r="G26" s="74">
        <f>(G13*(($E$7/5280)*'Data Summary'!G27))/453.6</f>
        <v>4.43012586698059</v>
      </c>
      <c r="H26" s="74">
        <f>(H13*(($E$7/5280)*'Data Summary'!H27))/453.6</f>
        <v>0.02267405408189723</v>
      </c>
      <c r="I26" s="74">
        <f>(I13*(($E$7/5280)*'Data Summary'!I27))/453.6</f>
        <v>0.0364868046281704</v>
      </c>
      <c r="J26" s="74">
        <f>(J13*(($E$7/5280)*'Data Summary'!J27))/453.6</f>
        <v>0.009346196287007264</v>
      </c>
      <c r="K26" s="74">
        <f>(K13*(($E$7/5280)*'Data Summary'!K27))/453.6</f>
        <v>0.2097446025883018</v>
      </c>
      <c r="L26" s="74">
        <f>(L13*(($E$7/5280)*'Data Summary'!L27))/453.6</f>
        <v>0.005630285220326053</v>
      </c>
      <c r="M26" s="74">
        <f>(M13*(($E$7/5280)*'Data Summary'!M27))/453.6</f>
        <v>0.0012637575604198112</v>
      </c>
      <c r="N26" s="75">
        <f>(N13*(($E$7/5280)*'Data Summary'!N27))/453.6</f>
        <v>2.4119869082947254</v>
      </c>
      <c r="Q26" s="161">
        <v>19</v>
      </c>
      <c r="R26" s="202" t="e">
        <f>'Scalar Factors'!L22</f>
        <v>#DIV/0!</v>
      </c>
      <c r="S26" s="157" t="e">
        <f t="shared" si="1"/>
        <v>#DIV/0!</v>
      </c>
      <c r="T26" s="158" t="e">
        <f t="shared" si="2"/>
        <v>#DIV/0!</v>
      </c>
      <c r="U26" s="159" t="e">
        <f t="shared" si="3"/>
        <v>#DIV/0!</v>
      </c>
      <c r="V26" s="171" t="e">
        <f t="shared" si="0"/>
        <v>#DIV/0!</v>
      </c>
      <c r="W26" s="155"/>
    </row>
    <row r="27" spans="1:23" ht="12.75">
      <c r="A27" s="71" t="s">
        <v>7</v>
      </c>
      <c r="B27" s="74">
        <f>($B14*(($E$7/5280)*'Data Summary'!B28))/453.6</f>
        <v>0</v>
      </c>
      <c r="C27" s="74">
        <f>($B14*(($E$7/5280)*'Data Summary'!C28))/453.6</f>
        <v>0</v>
      </c>
      <c r="D27" s="74">
        <f>($B14*(($E$7/5280)*'Data Summary'!D28))/453.6</f>
        <v>0</v>
      </c>
      <c r="E27" s="74">
        <f>($B14*(($E$7/5280)*'Data Summary'!E28))/453.6</f>
        <v>0</v>
      </c>
      <c r="F27" s="74">
        <f>($B14*(($E$7/5280)*'Data Summary'!F28))/453.6</f>
        <v>0</v>
      </c>
      <c r="G27" s="74">
        <f>($B14*(($E$7/5280)*'Data Summary'!G28))/453.6</f>
        <v>0</v>
      </c>
      <c r="H27" s="74">
        <f>($B14*(($E$7/5280)*'Data Summary'!H28))/453.6</f>
        <v>0</v>
      </c>
      <c r="I27" s="74">
        <f>($B14*(($E$7/5280)*'Data Summary'!I28))/453.6</f>
        <v>0</v>
      </c>
      <c r="J27" s="74">
        <f>($B14*(($E$7/5280)*'Data Summary'!J28))/453.6</f>
        <v>0</v>
      </c>
      <c r="K27" s="74">
        <f>($B14*(($E$7/5280)*'Data Summary'!K28))/453.6</f>
        <v>0</v>
      </c>
      <c r="L27" s="74">
        <f>($B14*(($E$7/5280)*'Data Summary'!L28))/453.6</f>
        <v>0</v>
      </c>
      <c r="M27" s="74">
        <f>($B14*(($E$7/5280)*'Data Summary'!M28))/453.6</f>
        <v>0</v>
      </c>
      <c r="N27" s="75">
        <f>($B14*(($E$7/5280)*'Data Summary'!N28))/453.6</f>
        <v>0</v>
      </c>
      <c r="Q27" s="161">
        <v>20</v>
      </c>
      <c r="R27" s="202" t="e">
        <f>'Scalar Factors'!L23</f>
        <v>#DIV/0!</v>
      </c>
      <c r="S27" s="157" t="e">
        <f t="shared" si="1"/>
        <v>#DIV/0!</v>
      </c>
      <c r="T27" s="158" t="e">
        <f t="shared" si="2"/>
        <v>#DIV/0!</v>
      </c>
      <c r="U27" s="159" t="e">
        <f t="shared" si="3"/>
        <v>#DIV/0!</v>
      </c>
      <c r="V27" s="171" t="e">
        <f t="shared" si="0"/>
        <v>#DIV/0!</v>
      </c>
      <c r="W27" s="155"/>
    </row>
    <row r="28" spans="1:23" ht="13.5" thickBot="1">
      <c r="A28" s="73" t="s">
        <v>33</v>
      </c>
      <c r="B28" s="76">
        <f>SUM(B26:B27)</f>
        <v>6.006672992612258</v>
      </c>
      <c r="C28" s="76">
        <f aca="true" t="shared" si="6" ref="C28:N28">SUM(C26:C27)</f>
        <v>2.7905493255039078</v>
      </c>
      <c r="D28" s="76">
        <f t="shared" si="6"/>
        <v>3.630288474620472</v>
      </c>
      <c r="E28" s="76">
        <f t="shared" si="6"/>
        <v>1.2821771480404012</v>
      </c>
      <c r="F28" s="76">
        <f t="shared" si="6"/>
        <v>0.13815329956684075</v>
      </c>
      <c r="G28" s="76">
        <f t="shared" si="6"/>
        <v>4.43012586698059</v>
      </c>
      <c r="H28" s="76">
        <f t="shared" si="6"/>
        <v>0.02267405408189723</v>
      </c>
      <c r="I28" s="76">
        <f t="shared" si="6"/>
        <v>0.0364868046281704</v>
      </c>
      <c r="J28" s="76">
        <f t="shared" si="6"/>
        <v>0.009346196287007264</v>
      </c>
      <c r="K28" s="76">
        <f t="shared" si="6"/>
        <v>0.2097446025883018</v>
      </c>
      <c r="L28" s="76">
        <f t="shared" si="6"/>
        <v>0.005630285220326053</v>
      </c>
      <c r="M28" s="76">
        <f t="shared" si="6"/>
        <v>0.0012637575604198112</v>
      </c>
      <c r="N28" s="77">
        <f t="shared" si="6"/>
        <v>2.4119869082947254</v>
      </c>
      <c r="Q28" s="161">
        <v>21</v>
      </c>
      <c r="R28" s="202" t="e">
        <f>'Scalar Factors'!L24</f>
        <v>#DIV/0!</v>
      </c>
      <c r="S28" s="157" t="e">
        <f t="shared" si="1"/>
        <v>#DIV/0!</v>
      </c>
      <c r="T28" s="158" t="e">
        <f t="shared" si="2"/>
        <v>#DIV/0!</v>
      </c>
      <c r="U28" s="159" t="e">
        <f t="shared" si="3"/>
        <v>#DIV/0!</v>
      </c>
      <c r="V28" s="171" t="e">
        <f t="shared" si="0"/>
        <v>#DIV/0!</v>
      </c>
      <c r="W28" s="155"/>
    </row>
    <row r="29" spans="1:23" ht="12.75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 t="s">
        <v>100</v>
      </c>
      <c r="L29" s="172">
        <f>N29*$C$5</f>
        <v>7655.911396334642</v>
      </c>
      <c r="M29" s="79" t="s">
        <v>99</v>
      </c>
      <c r="N29" s="79">
        <f>SUM(B28:N28)</f>
        <v>20.97509971598532</v>
      </c>
      <c r="Q29" s="161">
        <v>22</v>
      </c>
      <c r="R29" s="202" t="e">
        <f>'Scalar Factors'!L25</f>
        <v>#DIV/0!</v>
      </c>
      <c r="S29" s="157" t="e">
        <f t="shared" si="1"/>
        <v>#DIV/0!</v>
      </c>
      <c r="T29" s="158" t="e">
        <f t="shared" si="2"/>
        <v>#DIV/0!</v>
      </c>
      <c r="U29" s="159" t="e">
        <f t="shared" si="3"/>
        <v>#DIV/0!</v>
      </c>
      <c r="V29" s="171" t="e">
        <f t="shared" si="0"/>
        <v>#DIV/0!</v>
      </c>
      <c r="W29" s="155"/>
    </row>
    <row r="30" spans="1:23" ht="13.5" thickBot="1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M30" s="79"/>
      <c r="N30" s="79"/>
      <c r="Q30" s="161">
        <v>23</v>
      </c>
      <c r="R30" s="202" t="e">
        <f>'Scalar Factors'!L26</f>
        <v>#DIV/0!</v>
      </c>
      <c r="S30" s="157" t="e">
        <f t="shared" si="1"/>
        <v>#DIV/0!</v>
      </c>
      <c r="T30" s="158" t="e">
        <f t="shared" si="2"/>
        <v>#DIV/0!</v>
      </c>
      <c r="U30" s="159" t="e">
        <f t="shared" si="3"/>
        <v>#DIV/0!</v>
      </c>
      <c r="V30" s="171" t="e">
        <f t="shared" si="0"/>
        <v>#DIV/0!</v>
      </c>
      <c r="W30" s="155"/>
    </row>
    <row r="31" spans="1:23" ht="13.5" thickBot="1">
      <c r="A31" s="259" t="s">
        <v>146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8"/>
      <c r="Q31" s="162" t="s">
        <v>25</v>
      </c>
      <c r="R31" s="163" t="e">
        <f>SUM(R7:R30)</f>
        <v>#DIV/0!</v>
      </c>
      <c r="S31" s="164" t="e">
        <f>SUM(S7:S30)</f>
        <v>#DIV/0!</v>
      </c>
      <c r="T31" s="165" t="e">
        <f>SUM(T7:T30)</f>
        <v>#DIV/0!</v>
      </c>
      <c r="U31" s="166" t="e">
        <f>SUM(U7:U30)</f>
        <v>#DIV/0!</v>
      </c>
      <c r="V31" s="167"/>
      <c r="W31" s="155"/>
    </row>
    <row r="32" spans="1:20" ht="12.75">
      <c r="A32" s="71" t="s">
        <v>3</v>
      </c>
      <c r="B32" s="45" t="s">
        <v>8</v>
      </c>
      <c r="C32" s="45" t="s">
        <v>9</v>
      </c>
      <c r="D32" s="45" t="s">
        <v>10</v>
      </c>
      <c r="E32" s="45" t="s">
        <v>11</v>
      </c>
      <c r="F32" s="45" t="s">
        <v>12</v>
      </c>
      <c r="G32" s="45" t="s">
        <v>13</v>
      </c>
      <c r="H32" s="45" t="s">
        <v>14</v>
      </c>
      <c r="I32" s="45" t="s">
        <v>15</v>
      </c>
      <c r="J32" s="45" t="s">
        <v>16</v>
      </c>
      <c r="K32" s="45" t="s">
        <v>17</v>
      </c>
      <c r="L32" s="45" t="s">
        <v>18</v>
      </c>
      <c r="M32" s="45" t="s">
        <v>19</v>
      </c>
      <c r="N32" s="46" t="s">
        <v>21</v>
      </c>
      <c r="S32" s="1" t="s">
        <v>94</v>
      </c>
      <c r="T32" s="173" t="e">
        <f>MAX(T7:T30)</f>
        <v>#DIV/0!</v>
      </c>
    </row>
    <row r="33" spans="1:14" ht="12.75">
      <c r="A33" s="71" t="s">
        <v>22</v>
      </c>
      <c r="B33" s="74">
        <f>(B13*(($E$7/5280)*'Data Summary'!B32))/453.6</f>
        <v>0.4025266628524809</v>
      </c>
      <c r="C33" s="74">
        <f>(C13*(($E$7/5280)*'Data Summary'!C32))/453.6</f>
        <v>0.06270175311949419</v>
      </c>
      <c r="D33" s="74">
        <f>(D13*(($E$7/5280)*'Data Summary'!D32))/453.6</f>
        <v>0.07390561722158036</v>
      </c>
      <c r="E33" s="74">
        <f>(E13*(($E$7/5280)*'Data Summary'!E32))/453.6</f>
        <v>0.020513766804620807</v>
      </c>
      <c r="F33" s="74">
        <f>(F13*(($E$7/5280)*'Data Summary'!F32))/453.6</f>
        <v>0.001991598089207372</v>
      </c>
      <c r="G33" s="74">
        <f>(G13*(($E$7/5280)*'Data Summary'!G32))/453.6</f>
        <v>0.08813333764026819</v>
      </c>
      <c r="H33" s="74">
        <f>(H13*(($E$7/5280)*'Data Summary'!H32))/453.6</f>
        <v>0.0038055943248988516</v>
      </c>
      <c r="I33" s="74">
        <f>(I13*(($E$7/5280)*'Data Summary'!I32))/453.6</f>
        <v>0.00018165322173692257</v>
      </c>
      <c r="J33" s="74">
        <f>(J13*(($E$7/5280)*'Data Summary'!J32))/453.6</f>
        <v>0.0004907337085003103</v>
      </c>
      <c r="K33" s="74">
        <f>(K13*(($E$7/5280)*'Data Summary'!K32))/453.6</f>
        <v>0.0012421860774594572</v>
      </c>
      <c r="L33" s="74">
        <f>(L13*(($E$7/5280)*'Data Summary'!L32))/453.6</f>
        <v>2.8069263246764284E-05</v>
      </c>
      <c r="M33" s="74">
        <f>(M13*(($E$7/5280)*'Data Summary'!M32))/453.6</f>
        <v>5.0107770719050476E-05</v>
      </c>
      <c r="N33" s="75">
        <f>(N13*(($E$7/5280)*'Data Summary'!N32))/453.6</f>
        <v>0.005351195837955373</v>
      </c>
    </row>
    <row r="34" spans="1:16" ht="12.75">
      <c r="A34" s="71" t="s">
        <v>7</v>
      </c>
      <c r="B34" s="74">
        <f>(B14*(($E$7/5280)*'Data Summary'!B33))/453.6</f>
        <v>0.008327773710486699</v>
      </c>
      <c r="C34" s="74">
        <f>(C14*(($E$7/5280)*'Data Summary'!C33))/453.6</f>
        <v>0.001041121133749721</v>
      </c>
      <c r="D34" s="74">
        <f>(D14*(($E$7/5280)*'Data Summary'!D33))/453.6</f>
        <v>0.000575504563014915</v>
      </c>
      <c r="E34" s="74">
        <f>(E14*(($E$7/5280)*'Data Summary'!E33))/453.6</f>
        <v>0.1913445292499552</v>
      </c>
      <c r="F34" s="74">
        <f>(F14*(($E$7/5280)*'Data Summary'!F33))/453.6</f>
        <v>0.04990501571909912</v>
      </c>
      <c r="G34" s="74">
        <f>(G14*(($E$7/5280)*'Data Summary'!G33))/453.6</f>
        <v>0.0009676063184403698</v>
      </c>
      <c r="H34" s="74">
        <f>(H14*(($E$7/5280)*'Data Summary'!H33))/453.6</f>
        <v>0.051170743239646946</v>
      </c>
      <c r="I34" s="74">
        <f>(I14*(($E$7/5280)*'Data Summary'!I33))/453.6</f>
        <v>0.02277960284784722</v>
      </c>
      <c r="J34" s="74">
        <f>(J14*(($E$7/5280)*'Data Summary'!J33))/453.6</f>
        <v>0.017269569886757524</v>
      </c>
      <c r="K34" s="74">
        <f>(K14*(($E$7/5280)*'Data Summary'!K33))/453.6</f>
        <v>0.5397372310825372</v>
      </c>
      <c r="L34" s="74">
        <f>(L14*(($E$7/5280)*'Data Summary'!L33))/453.6</f>
        <v>0.5958200207310245</v>
      </c>
      <c r="M34" s="74">
        <f>(M14*(($E$7/5280)*'Data Summary'!M33))/453.6</f>
        <v>0.019134834619934725</v>
      </c>
      <c r="N34" s="75">
        <f>(N14*(($E$7/5280)*'Data Summary'!N33))/453.6</f>
        <v>0</v>
      </c>
      <c r="O34" s="92"/>
      <c r="P34" s="92"/>
    </row>
    <row r="35" spans="1:14" ht="13.5" thickBot="1">
      <c r="A35" s="73" t="s">
        <v>33</v>
      </c>
      <c r="B35" s="76">
        <f aca="true" t="shared" si="7" ref="B35:N35">SUM(B33:B34)</f>
        <v>0.4108544365629676</v>
      </c>
      <c r="C35" s="76">
        <f t="shared" si="7"/>
        <v>0.06374287425324392</v>
      </c>
      <c r="D35" s="76">
        <f t="shared" si="7"/>
        <v>0.07448112178459527</v>
      </c>
      <c r="E35" s="76">
        <f t="shared" si="7"/>
        <v>0.211858296054576</v>
      </c>
      <c r="F35" s="76">
        <f t="shared" si="7"/>
        <v>0.05189661380830649</v>
      </c>
      <c r="G35" s="76">
        <f t="shared" si="7"/>
        <v>0.08910094395870856</v>
      </c>
      <c r="H35" s="76">
        <f t="shared" si="7"/>
        <v>0.0549763375645458</v>
      </c>
      <c r="I35" s="76">
        <f t="shared" si="7"/>
        <v>0.02296125606958414</v>
      </c>
      <c r="J35" s="76">
        <f t="shared" si="7"/>
        <v>0.017760303595257834</v>
      </c>
      <c r="K35" s="76">
        <f t="shared" si="7"/>
        <v>0.5409794171599966</v>
      </c>
      <c r="L35" s="76">
        <f t="shared" si="7"/>
        <v>0.5958480899942712</v>
      </c>
      <c r="M35" s="76">
        <f t="shared" si="7"/>
        <v>0.019184942390653777</v>
      </c>
      <c r="N35" s="77">
        <f t="shared" si="7"/>
        <v>0.005351195837955373</v>
      </c>
    </row>
    <row r="36" spans="9:14" ht="12.75">
      <c r="I36" s="79" t="s">
        <v>166</v>
      </c>
      <c r="J36" s="79">
        <f>SUM(B34:N34)</f>
        <v>1.4980735531024942</v>
      </c>
      <c r="K36" s="79" t="s">
        <v>100</v>
      </c>
      <c r="L36" s="172">
        <f>N36*$C$5</f>
        <v>788.0334775976518</v>
      </c>
      <c r="M36" s="79" t="s">
        <v>99</v>
      </c>
      <c r="N36" s="79">
        <f>SUM(B35:N35)</f>
        <v>2.1589958290346623</v>
      </c>
    </row>
    <row r="37" ht="13.5" thickBot="1"/>
    <row r="38" spans="1:14" ht="12.75">
      <c r="A38" s="259" t="s">
        <v>147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8"/>
    </row>
    <row r="39" spans="1:14" ht="12.75">
      <c r="A39" s="71" t="s">
        <v>3</v>
      </c>
      <c r="B39" s="45" t="s">
        <v>8</v>
      </c>
      <c r="C39" s="45" t="s">
        <v>9</v>
      </c>
      <c r="D39" s="45" t="s">
        <v>10</v>
      </c>
      <c r="E39" s="45" t="s">
        <v>11</v>
      </c>
      <c r="F39" s="45" t="s">
        <v>12</v>
      </c>
      <c r="G39" s="45" t="s">
        <v>13</v>
      </c>
      <c r="H39" s="45" t="s">
        <v>14</v>
      </c>
      <c r="I39" s="45" t="s">
        <v>15</v>
      </c>
      <c r="J39" s="45" t="s">
        <v>16</v>
      </c>
      <c r="K39" s="45" t="s">
        <v>17</v>
      </c>
      <c r="L39" s="45" t="s">
        <v>18</v>
      </c>
      <c r="M39" s="45" t="s">
        <v>19</v>
      </c>
      <c r="N39" s="46" t="s">
        <v>21</v>
      </c>
    </row>
    <row r="40" spans="1:14" ht="12.75">
      <c r="A40" s="71" t="s">
        <v>22</v>
      </c>
      <c r="B40" s="80">
        <f>B13*($E$7/5280)*'Data Summary'!B37/453.6</f>
        <v>0.1565415782710861</v>
      </c>
      <c r="C40" s="80">
        <f>C13*($E$7/5280)*'Data Summary'!C37/453.6</f>
        <v>0.05698038559839665</v>
      </c>
      <c r="D40" s="80">
        <f>D13*($E$7/5280)*'Data Summary'!D37/453.6</f>
        <v>0.06694279394108289</v>
      </c>
      <c r="E40" s="80">
        <f>E13*($E$7/5280)*'Data Summary'!E37/453.6</f>
        <v>0.01889108272021825</v>
      </c>
      <c r="F40" s="80">
        <f>F13*($E$7/5280)*'Data Summary'!F37/453.6</f>
        <v>0.001795795841676954</v>
      </c>
      <c r="G40" s="80">
        <f>G13*($E$7/5280)*'Data Summary'!G37/453.6</f>
        <v>0.08072820578808329</v>
      </c>
      <c r="H40" s="80">
        <f>H13*($E$7/5280)*'Data Summary'!H37/453.6</f>
        <v>0.0034215259256772314</v>
      </c>
      <c r="I40" s="80">
        <f>I13*($E$7/5280)*'Data Summary'!I37/453.6</f>
        <v>0.00016654647802382465</v>
      </c>
      <c r="J40" s="80">
        <f>J13*($E$7/5280)*'Data Summary'!J37/453.6</f>
        <v>0.00041737463396018045</v>
      </c>
      <c r="K40" s="80">
        <f>K13*($E$7/5280)*'Data Summary'!K37/453.6</f>
        <v>0.0010851091121429264</v>
      </c>
      <c r="L40" s="80">
        <f>L13*($E$7/5280)*'Data Summary'!L37/453.6</f>
        <v>2.3327619492879817E-05</v>
      </c>
      <c r="M40" s="80">
        <f>M13*($E$7/5280)*'Data Summary'!M37/453.6</f>
        <v>4.353759711565916E-05</v>
      </c>
      <c r="N40" s="81">
        <f>N13*($E$7/5280)*'Data Summary'!N37/453.6</f>
        <v>0.0042765602591630335</v>
      </c>
    </row>
    <row r="41" spans="1:14" ht="12.75">
      <c r="A41" s="71" t="s">
        <v>7</v>
      </c>
      <c r="B41" s="80">
        <f>B14*($E$7/5280)*'Data Summary'!B38/453.6</f>
        <v>0.007661552154939172</v>
      </c>
      <c r="C41" s="80">
        <f>C14*($E$7/5280)*'Data Summary'!C38/453.6</f>
        <v>0.0009578314053555829</v>
      </c>
      <c r="D41" s="80">
        <f>D14*($E$7/5280)*'Data Summary'!D38/453.6</f>
        <v>0.0005294642048876795</v>
      </c>
      <c r="E41" s="80">
        <f>E14*($E$7/5280)*'Data Summary'!E38/453.6</f>
        <v>0.17603697190204154</v>
      </c>
      <c r="F41" s="80">
        <f>F14*($E$7/5280)*'Data Summary'!F38/453.6</f>
        <v>0.04591261510691755</v>
      </c>
      <c r="G41" s="80">
        <f>G14*($E$7/5280)*'Data Summary'!G38/453.6</f>
        <v>0.0008901977939427976</v>
      </c>
      <c r="H41" s="80">
        <f>H14*($E$7/5280)*'Data Summary'!H38/453.6</f>
        <v>0.047077083931459894</v>
      </c>
      <c r="I41" s="80">
        <f>I14*($E$7/5280)*'Data Summary'!I38/453.6</f>
        <v>0.02095723462001944</v>
      </c>
      <c r="J41" s="80">
        <f>J14*($E$7/5280)*'Data Summary'!J38/453.6</f>
        <v>0.015888004295816917</v>
      </c>
      <c r="K41" s="80">
        <f>K14*($E$7/5280)*'Data Summary'!K38/453.6</f>
        <v>0.4965582525959345</v>
      </c>
      <c r="L41" s="80">
        <f>L14*($E$7/5280)*'Data Summary'!L38/453.6</f>
        <v>0.5958200207310245</v>
      </c>
      <c r="M41" s="80">
        <f>M14*($E$7/5280)*'Data Summary'!M38/453.6</f>
        <v>0.01760404887021267</v>
      </c>
      <c r="N41" s="81">
        <f>N14*(Q7/5280)*'Data Summary'!N38/453.6</f>
        <v>0</v>
      </c>
    </row>
    <row r="42" spans="1:14" ht="13.5" thickBot="1">
      <c r="A42" s="73" t="s">
        <v>33</v>
      </c>
      <c r="B42" s="82">
        <f>SUM(B40:B41)</f>
        <v>0.16420313042602527</v>
      </c>
      <c r="C42" s="82">
        <f aca="true" t="shared" si="8" ref="C42:N42">SUM(C40:C41)</f>
        <v>0.057938217003752235</v>
      </c>
      <c r="D42" s="82">
        <f t="shared" si="8"/>
        <v>0.06747225814597058</v>
      </c>
      <c r="E42" s="82">
        <f t="shared" si="8"/>
        <v>0.1949280546222598</v>
      </c>
      <c r="F42" s="82">
        <f t="shared" si="8"/>
        <v>0.0477084109485945</v>
      </c>
      <c r="G42" s="82">
        <f t="shared" si="8"/>
        <v>0.08161840358202609</v>
      </c>
      <c r="H42" s="82">
        <f t="shared" si="8"/>
        <v>0.050498609857137125</v>
      </c>
      <c r="I42" s="82">
        <f t="shared" si="8"/>
        <v>0.021123781098043266</v>
      </c>
      <c r="J42" s="82">
        <f t="shared" si="8"/>
        <v>0.016305378929777098</v>
      </c>
      <c r="K42" s="82">
        <f t="shared" si="8"/>
        <v>0.49764336170807744</v>
      </c>
      <c r="L42" s="82">
        <f t="shared" si="8"/>
        <v>0.5958433483505173</v>
      </c>
      <c r="M42" s="82">
        <f t="shared" si="8"/>
        <v>0.01764758646732833</v>
      </c>
      <c r="N42" s="83">
        <f t="shared" si="8"/>
        <v>0.0042765602591630335</v>
      </c>
    </row>
    <row r="43" spans="11:14" ht="12.75">
      <c r="K43" s="79" t="s">
        <v>100</v>
      </c>
      <c r="L43" s="172">
        <f>N43*$C$5</f>
        <v>663.2805920105153</v>
      </c>
      <c r="M43" s="79" t="s">
        <v>99</v>
      </c>
      <c r="N43" s="85">
        <f>SUM(B42:N42)</f>
        <v>1.817207101398672</v>
      </c>
    </row>
    <row r="46" spans="1:3" ht="12.75">
      <c r="A46" s="113" t="s">
        <v>26</v>
      </c>
      <c r="C46" s="3" t="str">
        <f>C1</f>
        <v>XXX</v>
      </c>
    </row>
    <row r="47" spans="1:3" ht="13.5" thickBot="1">
      <c r="A47" s="1"/>
      <c r="C47" s="3" t="str">
        <f>J4&amp;"-"&amp;J5&amp;" -"&amp;J6</f>
        <v>1-1 -1</v>
      </c>
    </row>
    <row r="48" spans="1:14" ht="12.75">
      <c r="A48" s="259" t="s">
        <v>148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8"/>
    </row>
    <row r="49" spans="1:14" ht="12.75">
      <c r="A49" s="71" t="s">
        <v>3</v>
      </c>
      <c r="B49" s="45" t="s">
        <v>8</v>
      </c>
      <c r="C49" s="45" t="s">
        <v>9</v>
      </c>
      <c r="D49" s="45" t="s">
        <v>10</v>
      </c>
      <c r="E49" s="45" t="s">
        <v>11</v>
      </c>
      <c r="F49" s="45" t="s">
        <v>12</v>
      </c>
      <c r="G49" s="45" t="s">
        <v>13</v>
      </c>
      <c r="H49" s="45" t="s">
        <v>14</v>
      </c>
      <c r="I49" s="45" t="s">
        <v>15</v>
      </c>
      <c r="J49" s="45" t="s">
        <v>16</v>
      </c>
      <c r="K49" s="45" t="s">
        <v>17</v>
      </c>
      <c r="L49" s="45" t="s">
        <v>18</v>
      </c>
      <c r="M49" s="45" t="s">
        <v>19</v>
      </c>
      <c r="N49" s="46" t="s">
        <v>21</v>
      </c>
    </row>
    <row r="50" spans="1:14" ht="12.75">
      <c r="A50" s="71" t="s">
        <v>22</v>
      </c>
      <c r="B50" s="80">
        <f>B13*($E$7/5280)*'Data Summary'!B42/453.6</f>
        <v>13.413858063542005</v>
      </c>
      <c r="C50" s="80">
        <f>C13*($E$7/5280)*'Data Summary'!C42/453.6</f>
        <v>5.626324111742879</v>
      </c>
      <c r="D50" s="80">
        <f>D13*($E$7/5280)*'Data Summary'!D42/453.6</f>
        <v>9.707824505448894</v>
      </c>
      <c r="E50" s="80">
        <f>E13*($E$7/5280)*'Data Summary'!E42/453.6</f>
        <v>3.2518036371845667</v>
      </c>
      <c r="F50" s="80">
        <f>F13*($E$7/5280)*'Data Summary'!F42/453.6</f>
        <v>0.30038727636556845</v>
      </c>
      <c r="G50" s="80">
        <f>G13*($E$7/5280)*'Data Summary'!G42/453.6</f>
        <v>16.845671463571826</v>
      </c>
      <c r="H50" s="80">
        <f>H13*($E$7/5280)*'Data Summary'!H42/453.6</f>
        <v>1.2674547826059597</v>
      </c>
      <c r="I50" s="80">
        <f>I13*($E$7/5280)*'Data Summary'!I42/453.6</f>
        <v>0.2652749033815508</v>
      </c>
      <c r="J50" s="80">
        <f>J13*($E$7/5280)*'Data Summary'!J42/453.6</f>
        <v>0.10337918132586704</v>
      </c>
      <c r="K50" s="80">
        <f>K13*($E$7/5280)*'Data Summary'!K42/453.6</f>
        <v>0.7435140621241733</v>
      </c>
      <c r="L50" s="80">
        <f>L13*($E$7/5280)*'Data Summary'!L42/453.6</f>
        <v>0.1615091402684017</v>
      </c>
      <c r="M50" s="80">
        <f>M13*($E$7/5280)*'Data Summary'!M42/453.6</f>
        <v>0.1092179772890128</v>
      </c>
      <c r="N50" s="81">
        <f>N13*($E$7/5280)*'Data Summary'!N42/453.6</f>
        <v>8.304595761455825</v>
      </c>
    </row>
    <row r="51" spans="1:14" ht="12.75">
      <c r="A51" s="71" t="s">
        <v>7</v>
      </c>
      <c r="B51" s="80">
        <f>B14*($E$7/5280)*'Data Summary'!B43/453.6</f>
        <v>0.18445518088089505</v>
      </c>
      <c r="C51" s="80">
        <f>C14*($E$7/5280)*'Data Summary'!C43/453.6</f>
        <v>0.014815733017133393</v>
      </c>
      <c r="D51" s="80">
        <f>D14*($E$7/5280)*'Data Summary'!D43/453.6</f>
        <v>0.012654604980346477</v>
      </c>
      <c r="E51" s="80">
        <f>E14*($E$7/5280)*'Data Summary'!E43/453.6</f>
        <v>15.224197605376911</v>
      </c>
      <c r="F51" s="80">
        <f>F14*($E$7/5280)*'Data Summary'!F43/453.6</f>
        <v>3.9952178256083624</v>
      </c>
      <c r="G51" s="80">
        <f>G14*($E$7/5280)*'Data Summary'!G43/453.6</f>
        <v>0.016659379338449697</v>
      </c>
      <c r="H51" s="80">
        <f>H14*($E$7/5280)*'Data Summary'!H43/453.6</f>
        <v>1.9402951954977592</v>
      </c>
      <c r="I51" s="80">
        <f>I14*($E$7/5280)*'Data Summary'!I43/453.6</f>
        <v>1.2184008684029495</v>
      </c>
      <c r="J51" s="80">
        <f>J14*($E$7/5280)*'Data Summary'!J43/453.6</f>
        <v>1.6047991401914954</v>
      </c>
      <c r="K51" s="80">
        <f>K14*($E$7/5280)*'Data Summary'!K43/453.6</f>
        <v>17.77702073680832</v>
      </c>
      <c r="L51" s="80">
        <f>L14*($E$7/5280)*'Data Summary'!L43/453.6</f>
        <v>33.11387529912755</v>
      </c>
      <c r="M51" s="80">
        <f>M14*($E$7/5280)*'Data Summary'!M43/453.6</f>
        <v>0.998267069106461</v>
      </c>
      <c r="N51" s="81">
        <f>N14*($E$7/5280)*'Data Summary'!N43/453.6</f>
        <v>0</v>
      </c>
    </row>
    <row r="52" spans="1:19" ht="13.5" thickBot="1">
      <c r="A52" s="73" t="s">
        <v>33</v>
      </c>
      <c r="B52" s="82">
        <f>SUM(B50:B51)</f>
        <v>13.5983132444229</v>
      </c>
      <c r="C52" s="82">
        <f aca="true" t="shared" si="9" ref="C52:N52">SUM(C50:C51)</f>
        <v>5.641139844760013</v>
      </c>
      <c r="D52" s="82">
        <f t="shared" si="9"/>
        <v>9.72047911042924</v>
      </c>
      <c r="E52" s="82">
        <f t="shared" si="9"/>
        <v>18.476001242561477</v>
      </c>
      <c r="F52" s="82">
        <f t="shared" si="9"/>
        <v>4.295605101973931</v>
      </c>
      <c r="G52" s="82">
        <f t="shared" si="9"/>
        <v>16.862330842910275</v>
      </c>
      <c r="H52" s="82">
        <f t="shared" si="9"/>
        <v>3.2077499781037186</v>
      </c>
      <c r="I52" s="82">
        <f t="shared" si="9"/>
        <v>1.4836757717845002</v>
      </c>
      <c r="J52" s="82">
        <f t="shared" si="9"/>
        <v>1.7081783215173625</v>
      </c>
      <c r="K52" s="82">
        <f t="shared" si="9"/>
        <v>18.520534798932495</v>
      </c>
      <c r="L52" s="82">
        <f t="shared" si="9"/>
        <v>33.27538443939595</v>
      </c>
      <c r="M52" s="82">
        <f t="shared" si="9"/>
        <v>1.1074850463954737</v>
      </c>
      <c r="N52" s="83">
        <f t="shared" si="9"/>
        <v>8.304595761455825</v>
      </c>
      <c r="Q52" s="113" t="s">
        <v>26</v>
      </c>
      <c r="S52" s="86" t="str">
        <f>$C$1</f>
        <v>XXX</v>
      </c>
    </row>
    <row r="53" spans="1:19" ht="15" customHeight="1" thickBot="1">
      <c r="A53" s="250"/>
      <c r="B53" s="251"/>
      <c r="C53" s="251"/>
      <c r="D53" s="251"/>
      <c r="E53" s="251"/>
      <c r="F53" s="251"/>
      <c r="G53" s="251"/>
      <c r="H53" s="251"/>
      <c r="I53" s="251"/>
      <c r="J53" s="251"/>
      <c r="K53" s="252" t="s">
        <v>100</v>
      </c>
      <c r="L53" s="253">
        <f>N53*$C$5</f>
        <v>49713.53782919476</v>
      </c>
      <c r="M53" s="252" t="s">
        <v>99</v>
      </c>
      <c r="N53" s="254">
        <f>SUM(B52:N52)</f>
        <v>136.2014735046432</v>
      </c>
      <c r="S53" s="86" t="str">
        <f>J4&amp;"-"&amp;J5&amp;" -"&amp;J6</f>
        <v>1-1 -1</v>
      </c>
    </row>
    <row r="54" spans="13:22" ht="15.75" customHeight="1" thickBot="1">
      <c r="M54" s="84"/>
      <c r="N54" s="85"/>
      <c r="Q54" s="286" t="s">
        <v>125</v>
      </c>
      <c r="R54" s="287"/>
      <c r="S54" s="287"/>
      <c r="T54" s="287"/>
      <c r="U54" s="287"/>
      <c r="V54" s="288"/>
    </row>
    <row r="55" spans="1:22" ht="12.75">
      <c r="A55" s="259" t="s">
        <v>149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8"/>
      <c r="Q55" s="184" t="s">
        <v>96</v>
      </c>
      <c r="R55" s="201" t="str">
        <f>J3</f>
        <v>FRE</v>
      </c>
      <c r="S55" s="185" t="s">
        <v>95</v>
      </c>
      <c r="T55" s="183" t="s">
        <v>101</v>
      </c>
      <c r="U55" s="183" t="s">
        <v>105</v>
      </c>
      <c r="V55" s="168" t="s">
        <v>108</v>
      </c>
    </row>
    <row r="56" spans="1:22" ht="12.75">
      <c r="A56" s="71" t="s">
        <v>3</v>
      </c>
      <c r="B56" s="45" t="s">
        <v>8</v>
      </c>
      <c r="C56" s="45" t="s">
        <v>9</v>
      </c>
      <c r="D56" s="45" t="s">
        <v>10</v>
      </c>
      <c r="E56" s="45" t="s">
        <v>11</v>
      </c>
      <c r="F56" s="45" t="s">
        <v>12</v>
      </c>
      <c r="G56" s="45" t="s">
        <v>13</v>
      </c>
      <c r="H56" s="45" t="s">
        <v>14</v>
      </c>
      <c r="I56" s="45" t="s">
        <v>15</v>
      </c>
      <c r="J56" s="45" t="s">
        <v>16</v>
      </c>
      <c r="K56" s="45" t="s">
        <v>17</v>
      </c>
      <c r="L56" s="45" t="s">
        <v>18</v>
      </c>
      <c r="M56" s="45" t="s">
        <v>19</v>
      </c>
      <c r="N56" s="46" t="s">
        <v>21</v>
      </c>
      <c r="Q56" s="184">
        <v>0</v>
      </c>
      <c r="R56" s="202" t="e">
        <f>'Scalar Factors'!M3</f>
        <v>#DIV/0!</v>
      </c>
      <c r="S56" s="157" t="e">
        <f aca="true" t="shared" si="10" ref="S56:S79">(R56/$R$80)</f>
        <v>#DIV/0!</v>
      </c>
      <c r="T56" s="158" t="e">
        <f aca="true" t="shared" si="11" ref="T56:T79">$J$36*S56</f>
        <v>#DIV/0!</v>
      </c>
      <c r="U56" s="159" t="e">
        <f aca="true" t="shared" si="12" ref="U56:U79">SUM(B$14:N$14)*S56</f>
        <v>#DIV/0!</v>
      </c>
      <c r="V56" s="119" t="e">
        <f aca="true" t="shared" si="13" ref="V56:V79">((T56/$E$7)*5280)*453.6/U56</f>
        <v>#DIV/0!</v>
      </c>
    </row>
    <row r="57" spans="1:22" ht="12.75">
      <c r="A57" s="71" t="s">
        <v>22</v>
      </c>
      <c r="B57" s="80">
        <f>B13*($E$7/5280)*'Data Summary'!B47/453.6</f>
        <v>141.50925995848607</v>
      </c>
      <c r="C57" s="80">
        <f>C13*($E$7/5280)*'Data Summary'!C47/453.6</f>
        <v>53.3623438832217</v>
      </c>
      <c r="D57" s="80">
        <f>D13*($E$7/5280)*'Data Summary'!D47/453.6</f>
        <v>76.47721747897471</v>
      </c>
      <c r="E57" s="80">
        <f>E13*($E$7/5280)*'Data Summary'!E47/453.6</f>
        <v>21.11381004807807</v>
      </c>
      <c r="F57" s="80">
        <f>F13*($E$7/5280)*'Data Summary'!F47/453.6</f>
        <v>2.067082076571361</v>
      </c>
      <c r="G57" s="80">
        <f>G13*($E$7/5280)*'Data Summary'!G47/453.6</f>
        <v>113.4241387758684</v>
      </c>
      <c r="H57" s="80">
        <f>H13*($E$7/5280)*'Data Summary'!H47/453.6</f>
        <v>9.165648127167612</v>
      </c>
      <c r="I57" s="80">
        <f>I13*($E$7/5280)*'Data Summary'!I47/453.6</f>
        <v>0.8124893590761092</v>
      </c>
      <c r="J57" s="80">
        <f>J13*($E$7/5280)*'Data Summary'!J47/453.6</f>
        <v>1.5030877501296667</v>
      </c>
      <c r="K57" s="80">
        <f>K13*($E$7/5280)*'Data Summary'!K47/453.6</f>
        <v>4.101318910874835</v>
      </c>
      <c r="L57" s="80">
        <f>L13*($E$7/5280)*'Data Summary'!L47/453.6</f>
        <v>1.0386581209618093</v>
      </c>
      <c r="M57" s="80">
        <f>M13*($E$7/5280)*'Data Summary'!M47/453.6</f>
        <v>0.39253215331741165</v>
      </c>
      <c r="N57" s="81">
        <f>N13*($E$7/5280)*'Data Summary'!N47/453.6</f>
        <v>234.6102518192754</v>
      </c>
      <c r="Q57" s="184">
        <v>1</v>
      </c>
      <c r="R57" s="202" t="e">
        <f>'Scalar Factors'!M4</f>
        <v>#DIV/0!</v>
      </c>
      <c r="S57" s="157" t="e">
        <f t="shared" si="10"/>
        <v>#DIV/0!</v>
      </c>
      <c r="T57" s="158" t="e">
        <f t="shared" si="11"/>
        <v>#DIV/0!</v>
      </c>
      <c r="U57" s="159" t="e">
        <f t="shared" si="12"/>
        <v>#DIV/0!</v>
      </c>
      <c r="V57" s="119" t="e">
        <f t="shared" si="13"/>
        <v>#DIV/0!</v>
      </c>
    </row>
    <row r="58" spans="1:22" ht="12.75">
      <c r="A58" s="71" t="s">
        <v>7</v>
      </c>
      <c r="B58" s="80">
        <f>B14*($E$7/5280)*'Data Summary'!B48/453.6</f>
        <v>0.06190304923740844</v>
      </c>
      <c r="C58" s="80">
        <f>C14*($E$7/5280)*'Data Summary'!C48/453.6</f>
        <v>0.005959839315591622</v>
      </c>
      <c r="D58" s="80">
        <f>D14*($E$7/5280)*'Data Summary'!D48/453.6</f>
        <v>0.004078384275735254</v>
      </c>
      <c r="E58" s="80">
        <f>E14*($E$7/5280)*'Data Summary'!E48/453.6</f>
        <v>4.310784617598999</v>
      </c>
      <c r="F58" s="80">
        <f>F14*($E$7/5280)*'Data Summary'!F48/453.6</f>
        <v>1.1226260831175512</v>
      </c>
      <c r="G58" s="80">
        <f>G14*($E$7/5280)*'Data Summary'!G48/453.6</f>
        <v>0.006320599383687304</v>
      </c>
      <c r="H58" s="80">
        <f>H14*($E$7/5280)*'Data Summary'!H48/453.6</f>
        <v>0.18249989814106046</v>
      </c>
      <c r="I58" s="80">
        <f>I14*($E$7/5280)*'Data Summary'!I48/453.6</f>
        <v>0.15000436981817183</v>
      </c>
      <c r="J58" s="80">
        <f>J14*($E$7/5280)*'Data Summary'!J48/453.6</f>
        <v>0.09708803871266465</v>
      </c>
      <c r="K58" s="80">
        <f>K14*($E$7/5280)*'Data Summary'!K48/453.6</f>
        <v>2.809431670698792</v>
      </c>
      <c r="L58" s="80">
        <f>L14*($E$7/5280)*'Data Summary'!L48/453.6</f>
        <v>6.180101225099332</v>
      </c>
      <c r="M58" s="80">
        <f>M14*($E$7/5280)*'Data Summary'!M48/453.6</f>
        <v>0.17949215168392152</v>
      </c>
      <c r="N58" s="81">
        <f>N14*($E$7/5280)*'Data Summary'!N48/453.6</f>
        <v>0</v>
      </c>
      <c r="Q58" s="184">
        <v>2</v>
      </c>
      <c r="R58" s="202" t="e">
        <f>'Scalar Factors'!M5</f>
        <v>#DIV/0!</v>
      </c>
      <c r="S58" s="157" t="e">
        <f t="shared" si="10"/>
        <v>#DIV/0!</v>
      </c>
      <c r="T58" s="158" t="e">
        <f t="shared" si="11"/>
        <v>#DIV/0!</v>
      </c>
      <c r="U58" s="159" t="e">
        <f t="shared" si="12"/>
        <v>#DIV/0!</v>
      </c>
      <c r="V58" s="119" t="e">
        <f t="shared" si="13"/>
        <v>#DIV/0!</v>
      </c>
    </row>
    <row r="59" spans="1:22" ht="13.5" thickBot="1">
      <c r="A59" s="73" t="s">
        <v>33</v>
      </c>
      <c r="B59" s="82">
        <f>SUM(B57:B58)</f>
        <v>141.57116300772347</v>
      </c>
      <c r="C59" s="82">
        <f aca="true" t="shared" si="14" ref="C59:N59">SUM(C57:C58)</f>
        <v>53.36830372253729</v>
      </c>
      <c r="D59" s="82">
        <f t="shared" si="14"/>
        <v>76.48129586325044</v>
      </c>
      <c r="E59" s="82">
        <f t="shared" si="14"/>
        <v>25.424594665677066</v>
      </c>
      <c r="F59" s="82">
        <f t="shared" si="14"/>
        <v>3.1897081596889123</v>
      </c>
      <c r="G59" s="82">
        <f t="shared" si="14"/>
        <v>113.43045937525208</v>
      </c>
      <c r="H59" s="82">
        <f t="shared" si="14"/>
        <v>9.348148025308673</v>
      </c>
      <c r="I59" s="82">
        <f t="shared" si="14"/>
        <v>0.962493728894281</v>
      </c>
      <c r="J59" s="82">
        <f t="shared" si="14"/>
        <v>1.6001757888423314</v>
      </c>
      <c r="K59" s="82">
        <f t="shared" si="14"/>
        <v>6.910750581573627</v>
      </c>
      <c r="L59" s="82">
        <f t="shared" si="14"/>
        <v>7.218759346061141</v>
      </c>
      <c r="M59" s="82">
        <f t="shared" si="14"/>
        <v>0.5720243050013332</v>
      </c>
      <c r="N59" s="83">
        <f t="shared" si="14"/>
        <v>234.6102518192754</v>
      </c>
      <c r="Q59" s="184">
        <v>3</v>
      </c>
      <c r="R59" s="202" t="e">
        <f>'Scalar Factors'!M6</f>
        <v>#DIV/0!</v>
      </c>
      <c r="S59" s="157" t="e">
        <f t="shared" si="10"/>
        <v>#DIV/0!</v>
      </c>
      <c r="T59" s="158" t="e">
        <f t="shared" si="11"/>
        <v>#DIV/0!</v>
      </c>
      <c r="U59" s="159" t="e">
        <f t="shared" si="12"/>
        <v>#DIV/0!</v>
      </c>
      <c r="V59" s="119" t="e">
        <f t="shared" si="13"/>
        <v>#DIV/0!</v>
      </c>
    </row>
    <row r="60" spans="11:22" ht="12.75">
      <c r="K60" s="79" t="s">
        <v>100</v>
      </c>
      <c r="L60" s="172">
        <f>N60*$C$5</f>
        <v>246261.16686201637</v>
      </c>
      <c r="M60" s="79" t="s">
        <v>99</v>
      </c>
      <c r="N60" s="85">
        <f>SUM(B59:N59)</f>
        <v>674.6881283890859</v>
      </c>
      <c r="Q60" s="184">
        <v>4</v>
      </c>
      <c r="R60" s="202" t="e">
        <f>'Scalar Factors'!M7</f>
        <v>#DIV/0!</v>
      </c>
      <c r="S60" s="157" t="e">
        <f t="shared" si="10"/>
        <v>#DIV/0!</v>
      </c>
      <c r="T60" s="158" t="e">
        <f t="shared" si="11"/>
        <v>#DIV/0!</v>
      </c>
      <c r="U60" s="159" t="e">
        <f t="shared" si="12"/>
        <v>#DIV/0!</v>
      </c>
      <c r="V60" s="119" t="e">
        <f t="shared" si="13"/>
        <v>#DIV/0!</v>
      </c>
    </row>
    <row r="61" spans="11:22" ht="13.5" thickBot="1">
      <c r="K61" s="79"/>
      <c r="L61" s="172"/>
      <c r="M61" s="79"/>
      <c r="N61" s="85"/>
      <c r="Q61" s="184">
        <v>5</v>
      </c>
      <c r="R61" s="202" t="e">
        <f>'Scalar Factors'!M8</f>
        <v>#DIV/0!</v>
      </c>
      <c r="S61" s="157" t="e">
        <f t="shared" si="10"/>
        <v>#DIV/0!</v>
      </c>
      <c r="T61" s="158" t="e">
        <f t="shared" si="11"/>
        <v>#DIV/0!</v>
      </c>
      <c r="U61" s="159" t="e">
        <f t="shared" si="12"/>
        <v>#DIV/0!</v>
      </c>
      <c r="V61" s="119" t="e">
        <f t="shared" si="13"/>
        <v>#DIV/0!</v>
      </c>
    </row>
    <row r="62" spans="1:22" ht="12.75">
      <c r="A62" s="259" t="s">
        <v>150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8"/>
      <c r="Q62" s="184">
        <v>6</v>
      </c>
      <c r="R62" s="202" t="e">
        <f>'Scalar Factors'!M9</f>
        <v>#DIV/0!</v>
      </c>
      <c r="S62" s="157" t="e">
        <f t="shared" si="10"/>
        <v>#DIV/0!</v>
      </c>
      <c r="T62" s="158" t="e">
        <f t="shared" si="11"/>
        <v>#DIV/0!</v>
      </c>
      <c r="U62" s="159" t="e">
        <f t="shared" si="12"/>
        <v>#DIV/0!</v>
      </c>
      <c r="V62" s="119" t="e">
        <f t="shared" si="13"/>
        <v>#DIV/0!</v>
      </c>
    </row>
    <row r="63" spans="1:22" ht="12.75">
      <c r="A63" s="71" t="s">
        <v>3</v>
      </c>
      <c r="B63" s="45" t="s">
        <v>8</v>
      </c>
      <c r="C63" s="45" t="s">
        <v>9</v>
      </c>
      <c r="D63" s="45" t="s">
        <v>10</v>
      </c>
      <c r="E63" s="45" t="s">
        <v>11</v>
      </c>
      <c r="F63" s="45" t="s">
        <v>12</v>
      </c>
      <c r="G63" s="45" t="s">
        <v>13</v>
      </c>
      <c r="H63" s="45" t="s">
        <v>14</v>
      </c>
      <c r="I63" s="45" t="s">
        <v>15</v>
      </c>
      <c r="J63" s="45" t="s">
        <v>16</v>
      </c>
      <c r="K63" s="45" t="s">
        <v>17</v>
      </c>
      <c r="L63" s="45" t="s">
        <v>18</v>
      </c>
      <c r="M63" s="45" t="s">
        <v>19</v>
      </c>
      <c r="N63" s="46" t="s">
        <v>21</v>
      </c>
      <c r="Q63" s="161">
        <v>7</v>
      </c>
      <c r="R63" s="202" t="e">
        <f>'Scalar Factors'!M10</f>
        <v>#DIV/0!</v>
      </c>
      <c r="S63" s="157" t="e">
        <f t="shared" si="10"/>
        <v>#DIV/0!</v>
      </c>
      <c r="T63" s="158" t="e">
        <f t="shared" si="11"/>
        <v>#DIV/0!</v>
      </c>
      <c r="U63" s="159" t="e">
        <f t="shared" si="12"/>
        <v>#DIV/0!</v>
      </c>
      <c r="V63" s="119" t="e">
        <f t="shared" si="13"/>
        <v>#DIV/0!</v>
      </c>
    </row>
    <row r="64" spans="1:22" ht="12.75">
      <c r="A64" s="71" t="s">
        <v>22</v>
      </c>
      <c r="B64" s="80">
        <f>B13*($E$7/5280)*'Data Summary'!B52/453.6</f>
        <v>0.33426814190854753</v>
      </c>
      <c r="C64" s="80">
        <f>C13*($E$7/5280)*'Data Summary'!C52/453.6</f>
        <v>0.0604409087616951</v>
      </c>
      <c r="D64" s="80">
        <f>D13*($E$7/5280)*'Data Summary'!D52/453.6</f>
        <v>0.16837854437025662</v>
      </c>
      <c r="E64" s="80">
        <f>E13*($E$7/5280)*'Data Summary'!E52/453.6</f>
        <v>0.05883363635256447</v>
      </c>
      <c r="F64" s="80">
        <f>F13*($E$7/5280)*'Data Summary'!F52/453.6</f>
        <v>0.006016343298511703</v>
      </c>
      <c r="G64" s="80">
        <f>G13*($E$7/5280)*'Data Summary'!G52/453.6</f>
        <v>0.2396097444505014</v>
      </c>
      <c r="H64" s="80">
        <f>H13*($E$7/5280)*'Data Summary'!H52/453.6</f>
        <v>0.007664253710141677</v>
      </c>
      <c r="I64" s="80">
        <f>I13*($E$7/5280)*'Data Summary'!I52/453.6</f>
        <v>0.0010866682442857937</v>
      </c>
      <c r="J64" s="80">
        <f>J13*($E$7/5280)*'Data Summary'!J52/453.6</f>
        <v>0.00032148276433384914</v>
      </c>
      <c r="K64" s="80">
        <f>K13*($E$7/5280)*'Data Summary'!K52/453.6</f>
        <v>0.003626963454520655</v>
      </c>
      <c r="L64" s="80">
        <f>L13*($E$7/5280)*'Data Summary'!L52/453.6</f>
        <v>0.0001776519770567518</v>
      </c>
      <c r="M64" s="80">
        <f>M13*($E$7/5280)*'Data Summary'!M52/453.6</f>
        <v>0.0002516667601982987</v>
      </c>
      <c r="N64" s="81">
        <f>N13*($E$7/5280)*'Data Summary'!N52/453.6</f>
        <v>0.013968700170063127</v>
      </c>
      <c r="Q64" s="161">
        <v>8</v>
      </c>
      <c r="R64" s="202" t="e">
        <f>'Scalar Factors'!M11</f>
        <v>#DIV/0!</v>
      </c>
      <c r="S64" s="157" t="e">
        <f t="shared" si="10"/>
        <v>#DIV/0!</v>
      </c>
      <c r="T64" s="158" t="e">
        <f t="shared" si="11"/>
        <v>#DIV/0!</v>
      </c>
      <c r="U64" s="159" t="e">
        <f t="shared" si="12"/>
        <v>#DIV/0!</v>
      </c>
      <c r="V64" s="119" t="e">
        <f t="shared" si="13"/>
        <v>#DIV/0!</v>
      </c>
    </row>
    <row r="65" spans="1:22" ht="12.75">
      <c r="A65" s="71" t="s">
        <v>7</v>
      </c>
      <c r="B65" s="80">
        <f>B14*($E$7/5280)*'Data Summary'!B53/453.6</f>
        <v>0.0010443036147773242</v>
      </c>
      <c r="C65" s="80">
        <f>C14*($E$7/5280)*'Data Summary'!C53/453.6</f>
        <v>7.321892973501058E-05</v>
      </c>
      <c r="D65" s="80">
        <f>D14*($E$7/5280)*'Data Summary'!D53/453.6</f>
        <v>6.293981935448861E-05</v>
      </c>
      <c r="E65" s="80">
        <f>E14*($E$7/5280)*'Data Summary'!E53/453.6</f>
        <v>0.018372248580790364</v>
      </c>
      <c r="F65" s="80">
        <f>F14*($E$7/5280)*'Data Summary'!F53/453.6</f>
        <v>0.0050120276394447685</v>
      </c>
      <c r="G65" s="80">
        <f>G14*($E$7/5280)*'Data Summary'!G53/453.6</f>
        <v>0.00011517939918507457</v>
      </c>
      <c r="H65" s="80">
        <f>H14*($E$7/5280)*'Data Summary'!H53/453.6</f>
        <v>0.00277988077405581</v>
      </c>
      <c r="I65" s="80">
        <f>I14*($E$7/5280)*'Data Summary'!I53/453.6</f>
        <v>0.0019157293997121927</v>
      </c>
      <c r="J65" s="80">
        <f>J14*($E$7/5280)*'Data Summary'!J53/453.6</f>
        <v>0.0018945269012795145</v>
      </c>
      <c r="K65" s="80">
        <f>K14*($E$7/5280)*'Data Summary'!K53/453.6</f>
        <v>0.030351632914370735</v>
      </c>
      <c r="L65" s="80">
        <f>L14*($E$7/5280)*'Data Summary'!L53/453.6</f>
        <v>0.0694650836914458</v>
      </c>
      <c r="M65" s="80">
        <f>M14*($E$7/5280)*'Data Summary'!M53/453.6</f>
        <v>0.0019224832043794851</v>
      </c>
      <c r="N65" s="81">
        <f>N14*($E$7/5280)*'Data Summary'!N53/453.6</f>
        <v>0</v>
      </c>
      <c r="Q65" s="161">
        <v>9</v>
      </c>
      <c r="R65" s="202" t="e">
        <f>'Scalar Factors'!M12</f>
        <v>#DIV/0!</v>
      </c>
      <c r="S65" s="157" t="e">
        <f t="shared" si="10"/>
        <v>#DIV/0!</v>
      </c>
      <c r="T65" s="158" t="e">
        <f t="shared" si="11"/>
        <v>#DIV/0!</v>
      </c>
      <c r="U65" s="159" t="e">
        <f t="shared" si="12"/>
        <v>#DIV/0!</v>
      </c>
      <c r="V65" s="119" t="e">
        <f t="shared" si="13"/>
        <v>#DIV/0!</v>
      </c>
    </row>
    <row r="66" spans="1:22" ht="13.5" thickBot="1">
      <c r="A66" s="73" t="s">
        <v>33</v>
      </c>
      <c r="B66" s="82">
        <f>SUM(B64:B65)</f>
        <v>0.33531244552332484</v>
      </c>
      <c r="C66" s="82">
        <f aca="true" t="shared" si="15" ref="C66:N66">SUM(C64:C65)</f>
        <v>0.06051412769143011</v>
      </c>
      <c r="D66" s="82">
        <f t="shared" si="15"/>
        <v>0.1684414841896111</v>
      </c>
      <c r="E66" s="82">
        <f t="shared" si="15"/>
        <v>0.07720588493335484</v>
      </c>
      <c r="F66" s="82">
        <f t="shared" si="15"/>
        <v>0.011028370937956472</v>
      </c>
      <c r="G66" s="82">
        <f t="shared" si="15"/>
        <v>0.23972492384968647</v>
      </c>
      <c r="H66" s="82">
        <f t="shared" si="15"/>
        <v>0.010444134484197487</v>
      </c>
      <c r="I66" s="82">
        <f t="shared" si="15"/>
        <v>0.0030023976439979864</v>
      </c>
      <c r="J66" s="82">
        <f t="shared" si="15"/>
        <v>0.0022160096656133636</v>
      </c>
      <c r="K66" s="82">
        <f t="shared" si="15"/>
        <v>0.03397859636889139</v>
      </c>
      <c r="L66" s="82">
        <f t="shared" si="15"/>
        <v>0.06964273566850256</v>
      </c>
      <c r="M66" s="82">
        <f t="shared" si="15"/>
        <v>0.0021741499645777838</v>
      </c>
      <c r="N66" s="83">
        <f t="shared" si="15"/>
        <v>0.013968700170063127</v>
      </c>
      <c r="Q66" s="161">
        <v>10</v>
      </c>
      <c r="R66" s="202" t="e">
        <f>'Scalar Factors'!M13</f>
        <v>#DIV/0!</v>
      </c>
      <c r="S66" s="157" t="e">
        <f t="shared" si="10"/>
        <v>#DIV/0!</v>
      </c>
      <c r="T66" s="158" t="e">
        <f t="shared" si="11"/>
        <v>#DIV/0!</v>
      </c>
      <c r="U66" s="159" t="e">
        <f t="shared" si="12"/>
        <v>#DIV/0!</v>
      </c>
      <c r="V66" s="119" t="e">
        <f t="shared" si="13"/>
        <v>#DIV/0!</v>
      </c>
    </row>
    <row r="67" spans="11:22" ht="12.75">
      <c r="K67" s="79" t="s">
        <v>100</v>
      </c>
      <c r="L67" s="172">
        <f>N67*$C$5</f>
        <v>375.0936957982907</v>
      </c>
      <c r="M67" s="79" t="s">
        <v>99</v>
      </c>
      <c r="N67" s="85">
        <f>SUM(B66:N66)</f>
        <v>1.0276539610912074</v>
      </c>
      <c r="Q67" s="161">
        <v>11</v>
      </c>
      <c r="R67" s="202" t="e">
        <f>'Scalar Factors'!M14</f>
        <v>#DIV/0!</v>
      </c>
      <c r="S67" s="157" t="e">
        <f t="shared" si="10"/>
        <v>#DIV/0!</v>
      </c>
      <c r="T67" s="158" t="e">
        <f t="shared" si="11"/>
        <v>#DIV/0!</v>
      </c>
      <c r="U67" s="159" t="e">
        <f t="shared" si="12"/>
        <v>#DIV/0!</v>
      </c>
      <c r="V67" s="119" t="e">
        <f t="shared" si="13"/>
        <v>#DIV/0!</v>
      </c>
    </row>
    <row r="68" spans="11:22" ht="13.5" thickBot="1">
      <c r="K68" s="79"/>
      <c r="L68" s="172"/>
      <c r="M68" s="79"/>
      <c r="N68" s="85"/>
      <c r="P68" s="113"/>
      <c r="Q68" s="161">
        <v>12</v>
      </c>
      <c r="R68" s="202" t="e">
        <f>'Scalar Factors'!M15</f>
        <v>#DIV/0!</v>
      </c>
      <c r="S68" s="157" t="e">
        <f t="shared" si="10"/>
        <v>#DIV/0!</v>
      </c>
      <c r="T68" s="158" t="e">
        <f t="shared" si="11"/>
        <v>#DIV/0!</v>
      </c>
      <c r="U68" s="159" t="e">
        <f t="shared" si="12"/>
        <v>#DIV/0!</v>
      </c>
      <c r="V68" s="119" t="e">
        <f t="shared" si="13"/>
        <v>#DIV/0!</v>
      </c>
    </row>
    <row r="69" spans="1:22" ht="12.75">
      <c r="A69" s="259" t="s">
        <v>163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8"/>
      <c r="Q69" s="161">
        <v>13</v>
      </c>
      <c r="R69" s="202" t="e">
        <f>'Scalar Factors'!M16</f>
        <v>#DIV/0!</v>
      </c>
      <c r="S69" s="157" t="e">
        <f t="shared" si="10"/>
        <v>#DIV/0!</v>
      </c>
      <c r="T69" s="158" t="e">
        <f t="shared" si="11"/>
        <v>#DIV/0!</v>
      </c>
      <c r="U69" s="159" t="e">
        <f t="shared" si="12"/>
        <v>#DIV/0!</v>
      </c>
      <c r="V69" s="119" t="e">
        <f t="shared" si="13"/>
        <v>#DIV/0!</v>
      </c>
    </row>
    <row r="70" spans="1:22" ht="12.75">
      <c r="A70" s="71" t="s">
        <v>3</v>
      </c>
      <c r="B70" s="45" t="s">
        <v>8</v>
      </c>
      <c r="C70" s="45" t="s">
        <v>9</v>
      </c>
      <c r="D70" s="45" t="s">
        <v>10</v>
      </c>
      <c r="E70" s="45" t="s">
        <v>11</v>
      </c>
      <c r="F70" s="45" t="s">
        <v>12</v>
      </c>
      <c r="G70" s="45" t="s">
        <v>13</v>
      </c>
      <c r="H70" s="45" t="s">
        <v>14</v>
      </c>
      <c r="I70" s="45" t="s">
        <v>15</v>
      </c>
      <c r="J70" s="45" t="s">
        <v>16</v>
      </c>
      <c r="K70" s="45" t="s">
        <v>17</v>
      </c>
      <c r="L70" s="45" t="s">
        <v>18</v>
      </c>
      <c r="M70" s="45" t="s">
        <v>19</v>
      </c>
      <c r="N70" s="46" t="s">
        <v>21</v>
      </c>
      <c r="Q70" s="161">
        <v>14</v>
      </c>
      <c r="R70" s="202" t="e">
        <f>'Scalar Factors'!M17</f>
        <v>#DIV/0!</v>
      </c>
      <c r="S70" s="157" t="e">
        <f t="shared" si="10"/>
        <v>#DIV/0!</v>
      </c>
      <c r="T70" s="158" t="e">
        <f t="shared" si="11"/>
        <v>#DIV/0!</v>
      </c>
      <c r="U70" s="159" t="e">
        <f t="shared" si="12"/>
        <v>#DIV/0!</v>
      </c>
      <c r="V70" s="119" t="e">
        <f t="shared" si="13"/>
        <v>#DIV/0!</v>
      </c>
    </row>
    <row r="71" spans="1:22" ht="13.5" customHeight="1">
      <c r="A71" s="71" t="s">
        <v>22</v>
      </c>
      <c r="B71" s="80">
        <f>B13*($E$7/5280)*'Data Summary'!B57/453.6</f>
        <v>4.053942105146148</v>
      </c>
      <c r="C71" s="80">
        <f>C13*($E$7/5280)*'Data Summary'!C57/453.6</f>
        <v>1.6680844131412327</v>
      </c>
      <c r="D71" s="80">
        <f>D13*($E$7/5280)*'Data Summary'!D57/453.6</f>
        <v>2.2199750539519405</v>
      </c>
      <c r="E71" s="80">
        <f>E13*($E$7/5280)*'Data Summary'!E57/453.6</f>
        <v>1.583651311262574</v>
      </c>
      <c r="F71" s="80">
        <f>F13*($E$7/5280)*'Data Summary'!F57/453.6</f>
        <v>0.13020120284197034</v>
      </c>
      <c r="G71" s="80">
        <f>G13*($E$7/5280)*'Data Summary'!G57/453.6</f>
        <v>3.1611655464826542</v>
      </c>
      <c r="H71" s="80">
        <f>H13*($E$7/5280)*'Data Summary'!H57/453.6</f>
        <v>0.30656836169382534</v>
      </c>
      <c r="I71" s="80">
        <f>I13*($E$7/5280)*'Data Summary'!I57/453.6</f>
        <v>0.04508294418903437</v>
      </c>
      <c r="J71" s="80">
        <f>J13*($E$7/5280)*'Data Summary'!J57/453.6</f>
        <v>0.09397965815784409</v>
      </c>
      <c r="K71" s="80">
        <f>K13*($E$7/5280)*'Data Summary'!K57/453.6</f>
        <v>0.2130396831968739</v>
      </c>
      <c r="L71" s="80">
        <f>L13*($E$7/5280)*'Data Summary'!L57/453.6</f>
        <v>0.02822487697481365</v>
      </c>
      <c r="M71" s="80">
        <f>M13*($E$7/5280)*'Data Summary'!M57/453.6</f>
        <v>0.03180511183633301</v>
      </c>
      <c r="N71" s="81">
        <f>N13*($E$7/5280)*'Data Summary'!N57/453.6</f>
        <v>19.99697156727213</v>
      </c>
      <c r="Q71" s="161">
        <v>15</v>
      </c>
      <c r="R71" s="202" t="e">
        <f>'Scalar Factors'!M18</f>
        <v>#DIV/0!</v>
      </c>
      <c r="S71" s="157" t="e">
        <f t="shared" si="10"/>
        <v>#DIV/0!</v>
      </c>
      <c r="T71" s="158" t="e">
        <f t="shared" si="11"/>
        <v>#DIV/0!</v>
      </c>
      <c r="U71" s="159" t="e">
        <f t="shared" si="12"/>
        <v>#DIV/0!</v>
      </c>
      <c r="V71" s="119" t="e">
        <f t="shared" si="13"/>
        <v>#DIV/0!</v>
      </c>
    </row>
    <row r="72" spans="1:22" ht="12.75">
      <c r="A72" s="71" t="s">
        <v>7</v>
      </c>
      <c r="B72" s="80">
        <f>B14*($E$7/5280)*'Data Summary'!B58/453.6</f>
        <v>0.011334385716574847</v>
      </c>
      <c r="C72" s="80">
        <f>C14*($E$7/5280)*'Data Summary'!C58/453.6</f>
        <v>0.0012640958596476634</v>
      </c>
      <c r="D72" s="80">
        <f>D14*($E$7/5280)*'Data Summary'!D58/453.6</f>
        <v>0.0007435328354360958</v>
      </c>
      <c r="E72" s="80">
        <f>E14*($E$7/5280)*'Data Summary'!E58/453.6</f>
        <v>0.846129766852981</v>
      </c>
      <c r="F72" s="80">
        <f>F14*($E$7/5280)*'Data Summary'!F58/453.6</f>
        <v>0.21996854985331643</v>
      </c>
      <c r="G72" s="80">
        <f>G14*($E$7/5280)*'Data Summary'!G58/453.6</f>
        <v>0.0012000538465655008</v>
      </c>
      <c r="H72" s="80">
        <f>H14*($E$7/5280)*'Data Summary'!H58/453.6</f>
        <v>0.05939918434674007</v>
      </c>
      <c r="I72" s="80">
        <f>I14*($E$7/5280)*'Data Summary'!I58/453.6</f>
        <v>0.04182149704807041</v>
      </c>
      <c r="J72" s="80">
        <f>J14*($E$7/5280)*'Data Summary'!J58/453.6</f>
        <v>0.032544985722752315</v>
      </c>
      <c r="K72" s="80">
        <f>K14*($E$7/5280)*'Data Summary'!K58/453.6</f>
        <v>0.9025899505279228</v>
      </c>
      <c r="L72" s="80">
        <f>L14*($E$7/5280)*'Data Summary'!L58/453.6</f>
        <v>1.3457198019208254</v>
      </c>
      <c r="M72" s="80">
        <f>M14*($E$7/5280)*'Data Summary'!M58/453.6</f>
        <v>0.04101043994181621</v>
      </c>
      <c r="N72" s="81">
        <f>N14*($E$7/5280)*'Data Summary'!N58/453.6</f>
        <v>0</v>
      </c>
      <c r="Q72" s="161">
        <v>16</v>
      </c>
      <c r="R72" s="202" t="e">
        <f>'Scalar Factors'!M19</f>
        <v>#DIV/0!</v>
      </c>
      <c r="S72" s="157" t="e">
        <f t="shared" si="10"/>
        <v>#DIV/0!</v>
      </c>
      <c r="T72" s="158" t="e">
        <f t="shared" si="11"/>
        <v>#DIV/0!</v>
      </c>
      <c r="U72" s="159" t="e">
        <f t="shared" si="12"/>
        <v>#DIV/0!</v>
      </c>
      <c r="V72" s="119" t="e">
        <f t="shared" si="13"/>
        <v>#DIV/0!</v>
      </c>
    </row>
    <row r="73" spans="1:22" ht="13.5" thickBot="1">
      <c r="A73" s="73" t="s">
        <v>33</v>
      </c>
      <c r="B73" s="82">
        <f>SUM(B71:B72)</f>
        <v>4.065276490862723</v>
      </c>
      <c r="C73" s="82">
        <f aca="true" t="shared" si="16" ref="C73:N73">SUM(C71:C72)</f>
        <v>1.6693485090008804</v>
      </c>
      <c r="D73" s="82">
        <f t="shared" si="16"/>
        <v>2.2207185867873767</v>
      </c>
      <c r="E73" s="82">
        <f t="shared" si="16"/>
        <v>2.429781078115555</v>
      </c>
      <c r="F73" s="82">
        <f t="shared" si="16"/>
        <v>0.3501697526952868</v>
      </c>
      <c r="G73" s="82">
        <f t="shared" si="16"/>
        <v>3.1623656003292195</v>
      </c>
      <c r="H73" s="82">
        <f t="shared" si="16"/>
        <v>0.3659675460405654</v>
      </c>
      <c r="I73" s="82">
        <f t="shared" si="16"/>
        <v>0.08690444123710478</v>
      </c>
      <c r="J73" s="82">
        <f t="shared" si="16"/>
        <v>0.12652464388059642</v>
      </c>
      <c r="K73" s="82">
        <f t="shared" si="16"/>
        <v>1.1156296337247966</v>
      </c>
      <c r="L73" s="82">
        <f t="shared" si="16"/>
        <v>1.373944678895639</v>
      </c>
      <c r="M73" s="82">
        <f t="shared" si="16"/>
        <v>0.07281555177814922</v>
      </c>
      <c r="N73" s="83">
        <f t="shared" si="16"/>
        <v>19.99697156727213</v>
      </c>
      <c r="Q73" s="161">
        <v>17</v>
      </c>
      <c r="R73" s="202" t="e">
        <f>'Scalar Factors'!M20</f>
        <v>#DIV/0!</v>
      </c>
      <c r="S73" s="157" t="e">
        <f t="shared" si="10"/>
        <v>#DIV/0!</v>
      </c>
      <c r="T73" s="158" t="e">
        <f t="shared" si="11"/>
        <v>#DIV/0!</v>
      </c>
      <c r="U73" s="159" t="e">
        <f t="shared" si="12"/>
        <v>#DIV/0!</v>
      </c>
      <c r="V73" s="119" t="e">
        <f t="shared" si="13"/>
        <v>#DIV/0!</v>
      </c>
    </row>
    <row r="74" spans="11:22" ht="12.75">
      <c r="K74" s="79" t="s">
        <v>100</v>
      </c>
      <c r="L74" s="172">
        <f>N74*$C$5</f>
        <v>13518.29259942631</v>
      </c>
      <c r="M74" s="79" t="s">
        <v>99</v>
      </c>
      <c r="N74" s="85">
        <f>SUM(B73:N73)</f>
        <v>37.036418080620024</v>
      </c>
      <c r="Q74" s="161">
        <v>18</v>
      </c>
      <c r="R74" s="202" t="e">
        <f>'Scalar Factors'!M21</f>
        <v>#DIV/0!</v>
      </c>
      <c r="S74" s="157" t="e">
        <f t="shared" si="10"/>
        <v>#DIV/0!</v>
      </c>
      <c r="T74" s="158" t="e">
        <f t="shared" si="11"/>
        <v>#DIV/0!</v>
      </c>
      <c r="U74" s="159" t="e">
        <f t="shared" si="12"/>
        <v>#DIV/0!</v>
      </c>
      <c r="V74" s="119" t="e">
        <f t="shared" si="13"/>
        <v>#DIV/0!</v>
      </c>
    </row>
    <row r="75" spans="17:22" ht="13.5" thickBot="1">
      <c r="Q75" s="161">
        <v>19</v>
      </c>
      <c r="R75" s="202" t="e">
        <f>'Scalar Factors'!M22</f>
        <v>#DIV/0!</v>
      </c>
      <c r="S75" s="157" t="e">
        <f t="shared" si="10"/>
        <v>#DIV/0!</v>
      </c>
      <c r="T75" s="158" t="e">
        <f t="shared" si="11"/>
        <v>#DIV/0!</v>
      </c>
      <c r="U75" s="159" t="e">
        <f t="shared" si="12"/>
        <v>#DIV/0!</v>
      </c>
      <c r="V75" s="119" t="e">
        <f t="shared" si="13"/>
        <v>#DIV/0!</v>
      </c>
    </row>
    <row r="76" spans="1:22" ht="12.75">
      <c r="A76" s="259" t="s">
        <v>164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8"/>
      <c r="Q76" s="161">
        <v>20</v>
      </c>
      <c r="R76" s="202" t="e">
        <f>'Scalar Factors'!M23</f>
        <v>#DIV/0!</v>
      </c>
      <c r="S76" s="157" t="e">
        <f t="shared" si="10"/>
        <v>#DIV/0!</v>
      </c>
      <c r="T76" s="158" t="e">
        <f t="shared" si="11"/>
        <v>#DIV/0!</v>
      </c>
      <c r="U76" s="159" t="e">
        <f t="shared" si="12"/>
        <v>#DIV/0!</v>
      </c>
      <c r="V76" s="119" t="e">
        <f t="shared" si="13"/>
        <v>#DIV/0!</v>
      </c>
    </row>
    <row r="77" spans="1:22" ht="12.75">
      <c r="A77" s="71" t="s">
        <v>3</v>
      </c>
      <c r="B77" s="45" t="s">
        <v>8</v>
      </c>
      <c r="C77" s="45" t="s">
        <v>9</v>
      </c>
      <c r="D77" s="45" t="s">
        <v>10</v>
      </c>
      <c r="E77" s="45" t="s">
        <v>11</v>
      </c>
      <c r="F77" s="45" t="s">
        <v>12</v>
      </c>
      <c r="G77" s="45" t="s">
        <v>13</v>
      </c>
      <c r="H77" s="45" t="s">
        <v>14</v>
      </c>
      <c r="I77" s="45" t="s">
        <v>15</v>
      </c>
      <c r="J77" s="45" t="s">
        <v>16</v>
      </c>
      <c r="K77" s="45" t="s">
        <v>17</v>
      </c>
      <c r="L77" s="45" t="s">
        <v>18</v>
      </c>
      <c r="M77" s="45" t="s">
        <v>19</v>
      </c>
      <c r="N77" s="46" t="s">
        <v>21</v>
      </c>
      <c r="Q77" s="161">
        <v>21</v>
      </c>
      <c r="R77" s="202" t="e">
        <f>'Scalar Factors'!M24</f>
        <v>#DIV/0!</v>
      </c>
      <c r="S77" s="157" t="e">
        <f t="shared" si="10"/>
        <v>#DIV/0!</v>
      </c>
      <c r="T77" s="158" t="e">
        <f t="shared" si="11"/>
        <v>#DIV/0!</v>
      </c>
      <c r="U77" s="159" t="e">
        <f t="shared" si="12"/>
        <v>#DIV/0!</v>
      </c>
      <c r="V77" s="119" t="e">
        <f t="shared" si="13"/>
        <v>#DIV/0!</v>
      </c>
    </row>
    <row r="78" spans="1:22" ht="12.75">
      <c r="A78" s="71" t="s">
        <v>22</v>
      </c>
      <c r="B78" s="80">
        <f>B13*($E$7/5280)*'Data Summary'!B62/453.6</f>
        <v>33249.31262342536</v>
      </c>
      <c r="C78" s="80">
        <f>C13*($E$7/5280)*'Data Summary'!C62/453.6</f>
        <v>5964.990392998694</v>
      </c>
      <c r="D78" s="80">
        <f>D13*($E$7/5280)*'Data Summary'!D62/453.6</f>
        <v>16739.676431828888</v>
      </c>
      <c r="E78" s="80">
        <f>E13*($E$7/5280)*'Data Summary'!E62/453.6</f>
        <v>5855.532181627234</v>
      </c>
      <c r="F78" s="80">
        <f>F13*($E$7/5280)*'Data Summary'!F62/453.6</f>
        <v>599.0355853577846</v>
      </c>
      <c r="G78" s="80">
        <f>G13*($E$7/5280)*'Data Summary'!G62/453.6</f>
        <v>23813.410260397948</v>
      </c>
      <c r="H78" s="80">
        <f>H13*($E$7/5280)*'Data Summary'!H62/453.6</f>
        <v>752.3525501114048</v>
      </c>
      <c r="I78" s="80">
        <f>I13*($E$7/5280)*'Data Summary'!I62/453.6</f>
        <v>107.4320462179257</v>
      </c>
      <c r="J78" s="80">
        <f>J13*($E$7/5280)*'Data Summary'!J62/453.6</f>
        <v>29.541428491193887</v>
      </c>
      <c r="K78" s="80">
        <f>K13*($E$7/5280)*'Data Summary'!K62/453.6</f>
        <v>356.19767554211643</v>
      </c>
      <c r="L78" s="80">
        <f>L13*($E$7/5280)*'Data Summary'!L62/453.6</f>
        <v>16.069612322597102</v>
      </c>
      <c r="M78" s="80">
        <f>M13*($E$7/5280)*'Data Summary'!M62/453.6</f>
        <v>24.492388353082333</v>
      </c>
      <c r="N78" s="81">
        <f>N13*($E$7/5280)*'Data Summary'!N62/453.6</f>
        <v>965.7965412703425</v>
      </c>
      <c r="Q78" s="161">
        <v>22</v>
      </c>
      <c r="R78" s="202" t="e">
        <f>'Scalar Factors'!M25</f>
        <v>#DIV/0!</v>
      </c>
      <c r="S78" s="157" t="e">
        <f t="shared" si="10"/>
        <v>#DIV/0!</v>
      </c>
      <c r="T78" s="158" t="e">
        <f t="shared" si="11"/>
        <v>#DIV/0!</v>
      </c>
      <c r="U78" s="159" t="e">
        <f t="shared" si="12"/>
        <v>#DIV/0!</v>
      </c>
      <c r="V78" s="119" t="e">
        <f t="shared" si="13"/>
        <v>#DIV/0!</v>
      </c>
    </row>
    <row r="79" spans="1:22" ht="12.75">
      <c r="A79" s="71" t="s">
        <v>7</v>
      </c>
      <c r="B79" s="80">
        <f>B14*($E$7/5280)*'Data Summary'!B63/453.6</f>
        <v>109.38987954514664</v>
      </c>
      <c r="C79" s="80">
        <f>C14*($E$7/5280)*'Data Summary'!C63/453.6</f>
        <v>7.669618362181374</v>
      </c>
      <c r="D79" s="80">
        <f>D14*($E$7/5280)*'Data Summary'!D63/453.6</f>
        <v>6.5928903824516665</v>
      </c>
      <c r="E79" s="80">
        <f>E14*($E$7/5280)*'Data Summary'!E63/453.6</f>
        <v>1924.4767964917298</v>
      </c>
      <c r="F79" s="80">
        <f>F14*($E$7/5280)*'Data Summary'!F63/453.6</f>
        <v>525.0054768513849</v>
      </c>
      <c r="G79" s="80">
        <f>G14*($E$7/5280)*'Data Summary'!G63/453.6</f>
        <v>12.064939997865864</v>
      </c>
      <c r="H79" s="80">
        <f>H14*($E$7/5280)*'Data Summary'!H63/453.6</f>
        <v>291.19005710670524</v>
      </c>
      <c r="I79" s="80">
        <f>I14*($E$7/5280)*'Data Summary'!I63/453.6</f>
        <v>200.80036991316638</v>
      </c>
      <c r="J79" s="80">
        <f>J14*($E$7/5280)*'Data Summary'!J63/453.6</f>
        <v>198.57799470244777</v>
      </c>
      <c r="K79" s="80">
        <f>K14*($E$7/5280)*'Data Summary'!K63/453.6</f>
        <v>3181.3569899746267</v>
      </c>
      <c r="L79" s="80">
        <f>L14*($E$7/5280)*'Data Summary'!L63/453.6</f>
        <v>7281.0985222583795</v>
      </c>
      <c r="M79" s="80">
        <f>M14*($E$7/5280)*'Data Summary'!M63/453.6</f>
        <v>201.37840456148913</v>
      </c>
      <c r="N79" s="81">
        <f>N14*($E$7/5280)*'Data Summary'!N63/453.6</f>
        <v>0</v>
      </c>
      <c r="Q79" s="161">
        <v>23</v>
      </c>
      <c r="R79" s="202" t="e">
        <f>'Scalar Factors'!M26</f>
        <v>#DIV/0!</v>
      </c>
      <c r="S79" s="157" t="e">
        <f t="shared" si="10"/>
        <v>#DIV/0!</v>
      </c>
      <c r="T79" s="158" t="e">
        <f t="shared" si="11"/>
        <v>#DIV/0!</v>
      </c>
      <c r="U79" s="159" t="e">
        <f t="shared" si="12"/>
        <v>#DIV/0!</v>
      </c>
      <c r="V79" s="119" t="e">
        <f t="shared" si="13"/>
        <v>#DIV/0!</v>
      </c>
    </row>
    <row r="80" spans="1:22" ht="13.5" thickBot="1">
      <c r="A80" s="73" t="s">
        <v>33</v>
      </c>
      <c r="B80" s="82">
        <f>SUM(B78:B79)</f>
        <v>33358.702502970504</v>
      </c>
      <c r="C80" s="82">
        <f aca="true" t="shared" si="17" ref="C80:N80">SUM(C78:C79)</f>
        <v>5972.660011360876</v>
      </c>
      <c r="D80" s="82">
        <f t="shared" si="17"/>
        <v>16746.26932221134</v>
      </c>
      <c r="E80" s="82">
        <f t="shared" si="17"/>
        <v>7780.0089781189645</v>
      </c>
      <c r="F80" s="82">
        <f t="shared" si="17"/>
        <v>1124.0410622091695</v>
      </c>
      <c r="G80" s="82">
        <f t="shared" si="17"/>
        <v>23825.475200395813</v>
      </c>
      <c r="H80" s="82">
        <f t="shared" si="17"/>
        <v>1043.5426072181099</v>
      </c>
      <c r="I80" s="82">
        <f t="shared" si="17"/>
        <v>308.23241613109207</v>
      </c>
      <c r="J80" s="82">
        <f t="shared" si="17"/>
        <v>228.11942319364167</v>
      </c>
      <c r="K80" s="82">
        <f t="shared" si="17"/>
        <v>3537.554665516743</v>
      </c>
      <c r="L80" s="82">
        <f t="shared" si="17"/>
        <v>7297.168134580977</v>
      </c>
      <c r="M80" s="82">
        <f t="shared" si="17"/>
        <v>225.87079291457147</v>
      </c>
      <c r="N80" s="83">
        <f t="shared" si="17"/>
        <v>965.7965412703425</v>
      </c>
      <c r="Q80" s="162" t="s">
        <v>25</v>
      </c>
      <c r="R80" s="163" t="e">
        <f>SUM(R56:R79)</f>
        <v>#DIV/0!</v>
      </c>
      <c r="S80" s="164" t="e">
        <f>SUM(S56:S79)</f>
        <v>#DIV/0!</v>
      </c>
      <c r="T80" s="165" t="e">
        <f>SUM(T56:T79)</f>
        <v>#DIV/0!</v>
      </c>
      <c r="U80" s="166" t="e">
        <f>SUM(U56:U79)</f>
        <v>#DIV/0!</v>
      </c>
      <c r="V80" s="167"/>
    </row>
    <row r="81" spans="11:20" ht="12.75">
      <c r="K81" s="79" t="s">
        <v>100</v>
      </c>
      <c r="L81" s="172">
        <f>N81*$C$5</f>
        <v>37380906.20520364</v>
      </c>
      <c r="M81" s="79" t="s">
        <v>99</v>
      </c>
      <c r="N81" s="85">
        <f>SUM(B80:N80)</f>
        <v>102413.44165809215</v>
      </c>
      <c r="S81" s="1" t="s">
        <v>94</v>
      </c>
      <c r="T81" s="173" t="e">
        <f>MAX(T56:T79)</f>
        <v>#DIV/0!</v>
      </c>
    </row>
    <row r="82" ht="13.5" thickBot="1"/>
    <row r="83" spans="1:14" ht="12.75">
      <c r="A83" s="259" t="s">
        <v>165</v>
      </c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8"/>
    </row>
    <row r="84" spans="1:14" ht="12.75">
      <c r="A84" s="71" t="s">
        <v>3</v>
      </c>
      <c r="B84" s="45" t="s">
        <v>8</v>
      </c>
      <c r="C84" s="45" t="s">
        <v>9</v>
      </c>
      <c r="D84" s="45" t="s">
        <v>10</v>
      </c>
      <c r="E84" s="45" t="s">
        <v>11</v>
      </c>
      <c r="F84" s="45" t="s">
        <v>12</v>
      </c>
      <c r="G84" s="45" t="s">
        <v>13</v>
      </c>
      <c r="H84" s="45" t="s">
        <v>14</v>
      </c>
      <c r="I84" s="45" t="s">
        <v>15</v>
      </c>
      <c r="J84" s="45" t="s">
        <v>16</v>
      </c>
      <c r="K84" s="45" t="s">
        <v>17</v>
      </c>
      <c r="L84" s="45" t="s">
        <v>18</v>
      </c>
      <c r="M84" s="45" t="s">
        <v>19</v>
      </c>
      <c r="N84" s="46" t="s">
        <v>21</v>
      </c>
    </row>
    <row r="85" spans="1:14" ht="13.5" customHeight="1">
      <c r="A85" s="71" t="s">
        <v>22</v>
      </c>
      <c r="B85" s="80">
        <f>B13*($E$7/5280)*'Data Summary'!B67/453.6</f>
        <v>29066.67221104577</v>
      </c>
      <c r="C85" s="80">
        <f>C13*($E$7/5280)*'Data Summary'!C67/453.6</f>
        <v>5297.466636081128</v>
      </c>
      <c r="D85" s="80">
        <f>D13*($E$7/5280)*'Data Summary'!D67/453.6</f>
        <v>15233.320548722068</v>
      </c>
      <c r="E85" s="80">
        <f>E13*($E$7/5280)*'Data Summary'!E67/453.6</f>
        <v>5767.699198902827</v>
      </c>
      <c r="F85" s="80">
        <f>F13*($E$7/5280)*'Data Summary'!F67/453.6</f>
        <v>590.0500515774179</v>
      </c>
      <c r="G85" s="80">
        <f>G13*($E$7/5280)*'Data Summary'!G67/453.6</f>
        <v>22295.46400626057</v>
      </c>
      <c r="H85" s="80">
        <f>H13*($E$7/5280)*'Data Summary'!H67/453.6</f>
        <v>741.0672618597337</v>
      </c>
      <c r="I85" s="80">
        <f>I13*($E$7/5280)*'Data Summary'!I67/453.6</f>
        <v>105.82056552465681</v>
      </c>
      <c r="J85" s="80">
        <f>J13*($E$7/5280)*'Data Summary'!J67/453.6</f>
        <v>29.09830706382598</v>
      </c>
      <c r="K85" s="80">
        <f>K13*($E$7/5280)*'Data Summary'!K67/453.6</f>
        <v>350.8547104089847</v>
      </c>
      <c r="L85" s="80">
        <f>L13*($E$7/5280)*'Data Summary'!L67/453.6</f>
        <v>15.828568137758145</v>
      </c>
      <c r="M85" s="80">
        <f>M13*($E$7/5280)*'Data Summary'!M67/453.6</f>
        <v>24.125002527786094</v>
      </c>
      <c r="N85" s="81">
        <f>N13*($E$7/5280)*'Data Summary'!N67/453.6</f>
        <v>951.3095931512873</v>
      </c>
    </row>
    <row r="86" spans="1:14" ht="12.75">
      <c r="A86" s="71" t="s">
        <v>7</v>
      </c>
      <c r="B86" s="80">
        <f>B14*($E$7/5280)*'Data Summary'!B68/453.6</f>
        <v>93.32431647754505</v>
      </c>
      <c r="C86" s="80">
        <f>C14*($E$7/5280)*'Data Summary'!C68/453.6</f>
        <v>6.571951692837072</v>
      </c>
      <c r="D86" s="80">
        <f>D14*($E$7/5280)*'Data Summary'!D68/453.6</f>
        <v>5.784853613453283</v>
      </c>
      <c r="E86" s="80">
        <f>E14*($E$7/5280)*'Data Summary'!E68/453.6</f>
        <v>1895.6096445443548</v>
      </c>
      <c r="F86" s="80">
        <f>F14*($E$7/5280)*'Data Summary'!F68/453.6</f>
        <v>517.130394698614</v>
      </c>
      <c r="G86" s="80">
        <f>G14*($E$7/5280)*'Data Summary'!G68/453.6</f>
        <v>11.119495398265828</v>
      </c>
      <c r="H86" s="80">
        <f>H14*($E$7/5280)*'Data Summary'!H68/453.6</f>
        <v>286.8222062501046</v>
      </c>
      <c r="I86" s="80">
        <f>I14*($E$7/5280)*'Data Summary'!I68/453.6</f>
        <v>197.78836436446872</v>
      </c>
      <c r="J86" s="80">
        <f>J14*($E$7/5280)*'Data Summary'!J68/453.6</f>
        <v>195.59932478191118</v>
      </c>
      <c r="K86" s="80">
        <f>K14*($E$7/5280)*'Data Summary'!K68/453.6</f>
        <v>3133.6366351250053</v>
      </c>
      <c r="L86" s="80">
        <f>L14*($E$7/5280)*'Data Summary'!L68/453.6</f>
        <v>7171.882044424502</v>
      </c>
      <c r="M86" s="80">
        <f>M14*($E$7/5280)*'Data Summary'!M68/453.6</f>
        <v>198.3577284930669</v>
      </c>
      <c r="N86" s="81">
        <f>N14*($E$7/5280)*'Data Summary'!N68/453.6</f>
        <v>0</v>
      </c>
    </row>
    <row r="87" spans="1:14" ht="13.5" thickBot="1">
      <c r="A87" s="73" t="s">
        <v>33</v>
      </c>
      <c r="B87" s="82">
        <f>SUM(B85:B86)</f>
        <v>29159.996527523315</v>
      </c>
      <c r="C87" s="82">
        <f aca="true" t="shared" si="18" ref="C87:N87">SUM(C85:C86)</f>
        <v>5304.038587773965</v>
      </c>
      <c r="D87" s="82">
        <f t="shared" si="18"/>
        <v>15239.105402335521</v>
      </c>
      <c r="E87" s="82">
        <f t="shared" si="18"/>
        <v>7663.308843447182</v>
      </c>
      <c r="F87" s="82">
        <f t="shared" si="18"/>
        <v>1107.180446276032</v>
      </c>
      <c r="G87" s="82">
        <f t="shared" si="18"/>
        <v>22306.583501658835</v>
      </c>
      <c r="H87" s="82">
        <f t="shared" si="18"/>
        <v>1027.8894681098382</v>
      </c>
      <c r="I87" s="82">
        <f t="shared" si="18"/>
        <v>303.60892988912553</v>
      </c>
      <c r="J87" s="82">
        <f t="shared" si="18"/>
        <v>224.69763184573716</v>
      </c>
      <c r="K87" s="82">
        <f t="shared" si="18"/>
        <v>3484.49134553399</v>
      </c>
      <c r="L87" s="82">
        <f t="shared" si="18"/>
        <v>7187.71061256226</v>
      </c>
      <c r="M87" s="82">
        <f t="shared" si="18"/>
        <v>222.482731020853</v>
      </c>
      <c r="N87" s="83">
        <f t="shared" si="18"/>
        <v>951.3095931512873</v>
      </c>
    </row>
    <row r="88" spans="11:14" ht="12.75">
      <c r="K88" s="79" t="s">
        <v>100</v>
      </c>
      <c r="L88" s="172">
        <f>N88*$C$5</f>
        <v>34376577.3217117</v>
      </c>
      <c r="M88" s="79" t="s">
        <v>99</v>
      </c>
      <c r="N88" s="85">
        <f>SUM(B87:N87)</f>
        <v>94182.40362112793</v>
      </c>
    </row>
    <row r="93" spans="1:19" ht="12.75">
      <c r="A93" s="113" t="s">
        <v>26</v>
      </c>
      <c r="C93" s="86" t="str">
        <f>C1</f>
        <v>XXX</v>
      </c>
      <c r="D93" s="86"/>
      <c r="Q93" s="113" t="s">
        <v>26</v>
      </c>
      <c r="S93" s="86" t="str">
        <f>$C$1</f>
        <v>XXX</v>
      </c>
    </row>
    <row r="94" spans="1:19" ht="13.5" thickBot="1">
      <c r="A94" s="1"/>
      <c r="C94" s="86" t="str">
        <f>J4&amp;"-"&amp;J5&amp;" -"&amp;J6</f>
        <v>1-1 -1</v>
      </c>
      <c r="S94" s="86" t="str">
        <f>J4&amp;"-"&amp;J5&amp;" -"&amp;J6</f>
        <v>1-1 -1</v>
      </c>
    </row>
    <row r="95" spans="1:24" ht="15.75" customHeight="1" thickBot="1">
      <c r="A95" s="1"/>
      <c r="Q95" s="286" t="s">
        <v>92</v>
      </c>
      <c r="R95" s="287"/>
      <c r="S95" s="287"/>
      <c r="T95" s="287"/>
      <c r="U95" s="287"/>
      <c r="V95" s="287"/>
      <c r="W95" s="287"/>
      <c r="X95" s="288"/>
    </row>
    <row r="96" spans="1:24" ht="39" thickBot="1">
      <c r="A96" s="279" t="s">
        <v>124</v>
      </c>
      <c r="B96" s="280"/>
      <c r="C96" s="280"/>
      <c r="D96" s="280"/>
      <c r="E96" s="280"/>
      <c r="F96" s="280"/>
      <c r="G96" s="280"/>
      <c r="H96" s="280"/>
      <c r="I96" s="280"/>
      <c r="J96" s="280"/>
      <c r="K96" s="280"/>
      <c r="L96" s="280"/>
      <c r="M96" s="280"/>
      <c r="N96" s="281"/>
      <c r="Q96" s="211" t="s">
        <v>96</v>
      </c>
      <c r="R96" s="212" t="str">
        <f>J3</f>
        <v>FRE</v>
      </c>
      <c r="S96" s="213" t="s">
        <v>95</v>
      </c>
      <c r="T96" s="210" t="s">
        <v>103</v>
      </c>
      <c r="U96" s="210" t="s">
        <v>104</v>
      </c>
      <c r="V96" s="210" t="s">
        <v>107</v>
      </c>
      <c r="W96" s="210" t="s">
        <v>106</v>
      </c>
      <c r="X96" s="208" t="s">
        <v>108</v>
      </c>
    </row>
    <row r="97" spans="1:24" ht="13.5" thickBot="1">
      <c r="A97" s="279" t="s">
        <v>70</v>
      </c>
      <c r="B97" s="280"/>
      <c r="C97" s="280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1"/>
      <c r="Q97" s="211">
        <v>0</v>
      </c>
      <c r="R97" s="202" t="e">
        <f>'Scalar Factors'!L3</f>
        <v>#DIV/0!</v>
      </c>
      <c r="S97" s="157" t="e">
        <f aca="true" t="shared" si="19" ref="S97:S120">(R97/$R$121)</f>
        <v>#DIV/0!</v>
      </c>
      <c r="T97" s="158" t="e">
        <f>$N$23*S97</f>
        <v>#DIV/0!</v>
      </c>
      <c r="U97" s="160" t="e">
        <f aca="true" t="shared" si="20" ref="U97:U120">S97*N$29</f>
        <v>#DIV/0!</v>
      </c>
      <c r="V97" s="170" t="e">
        <f aca="true" t="shared" si="21" ref="V97:V120">T97+U97</f>
        <v>#DIV/0!</v>
      </c>
      <c r="W97" s="159" t="e">
        <f aca="true" t="shared" si="22" ref="W97:W120">SUM(B$13:N$13)*S97</f>
        <v>#DIV/0!</v>
      </c>
      <c r="X97" s="117" t="e">
        <f>((V97/$E$7)*5280)*453.6/W97</f>
        <v>#DIV/0!</v>
      </c>
    </row>
    <row r="98" spans="1:24" ht="12.75">
      <c r="A98" s="180" t="s">
        <v>37</v>
      </c>
      <c r="B98" s="111" t="s">
        <v>8</v>
      </c>
      <c r="C98" s="111" t="s">
        <v>9</v>
      </c>
      <c r="D98" s="111" t="s">
        <v>10</v>
      </c>
      <c r="E98" s="111" t="s">
        <v>11</v>
      </c>
      <c r="F98" s="111" t="s">
        <v>12</v>
      </c>
      <c r="G98" s="111" t="s">
        <v>13</v>
      </c>
      <c r="H98" s="111" t="s">
        <v>14</v>
      </c>
      <c r="I98" s="111" t="s">
        <v>15</v>
      </c>
      <c r="J98" s="111" t="s">
        <v>16</v>
      </c>
      <c r="K98" s="111" t="s">
        <v>17</v>
      </c>
      <c r="L98" s="111" t="s">
        <v>18</v>
      </c>
      <c r="M98" s="111" t="s">
        <v>19</v>
      </c>
      <c r="N98" s="112" t="s">
        <v>21</v>
      </c>
      <c r="Q98" s="211">
        <v>1</v>
      </c>
      <c r="R98" s="202" t="e">
        <f>'Scalar Factors'!L4</f>
        <v>#DIV/0!</v>
      </c>
      <c r="S98" s="157" t="e">
        <f t="shared" si="19"/>
        <v>#DIV/0!</v>
      </c>
      <c r="T98" s="158" t="e">
        <f aca="true" t="shared" si="23" ref="T98:T120">$N$23*S98</f>
        <v>#DIV/0!</v>
      </c>
      <c r="U98" s="160" t="e">
        <f t="shared" si="20"/>
        <v>#DIV/0!</v>
      </c>
      <c r="V98" s="170" t="e">
        <f t="shared" si="21"/>
        <v>#DIV/0!</v>
      </c>
      <c r="W98" s="159" t="e">
        <f t="shared" si="22"/>
        <v>#DIV/0!</v>
      </c>
      <c r="X98" s="117" t="e">
        <f aca="true" t="shared" si="24" ref="X98:X120">((V98/$E$7)*5280)*453.6/W98</f>
        <v>#DIV/0!</v>
      </c>
    </row>
    <row r="99" spans="1:24" ht="12.75">
      <c r="A99" s="101">
        <v>75070</v>
      </c>
      <c r="B99" s="5">
        <f>B$19*'Data Summary'!$D73</f>
        <v>0.015466556710465911</v>
      </c>
      <c r="C99" s="5">
        <f>C$19*'Data Summary'!$D73</f>
        <v>0.005978398994177753</v>
      </c>
      <c r="D99" s="5">
        <f>D$19*'Data Summary'!$D73</f>
        <v>0.008360233923768006</v>
      </c>
      <c r="E99" s="5">
        <f>E$19*'Data Summary'!$D73</f>
        <v>0.005088436192555703</v>
      </c>
      <c r="F99" s="5">
        <f>F$19*'Data Summary'!$D73</f>
        <v>0.00042408193696863894</v>
      </c>
      <c r="G99" s="5">
        <f>G$19*'Data Summary'!$D73</f>
        <v>0.012552416978067148</v>
      </c>
      <c r="H99" s="5">
        <f>H$19*'Data Summary'!$D73</f>
        <v>0.001010406279367878</v>
      </c>
      <c r="I99" s="5">
        <f>I$19*'Data Summary'!$D73</f>
        <v>0.00014776488222365867</v>
      </c>
      <c r="J99" s="5">
        <f>J$19*'Data Summary'!$D73</f>
        <v>0.0002845044677160325</v>
      </c>
      <c r="K99" s="5">
        <f>K$19*'Data Summary'!$D73</f>
        <v>0.0006740866221680677</v>
      </c>
      <c r="L99" s="5">
        <f>L$19*'Data Summary'!$D73</f>
        <v>9.030514868726382E-05</v>
      </c>
      <c r="M99" s="5">
        <f>M$19*'Data Summary'!$D73</f>
        <v>9.698471333053104E-05</v>
      </c>
      <c r="N99" s="6">
        <f>N$19*'Data Summary'!$D73</f>
        <v>0.060905459259751514</v>
      </c>
      <c r="Q99" s="211">
        <v>2</v>
      </c>
      <c r="R99" s="202" t="e">
        <f>'Scalar Factors'!L5</f>
        <v>#DIV/0!</v>
      </c>
      <c r="S99" s="157" t="e">
        <f t="shared" si="19"/>
        <v>#DIV/0!</v>
      </c>
      <c r="T99" s="158" t="e">
        <f t="shared" si="23"/>
        <v>#DIV/0!</v>
      </c>
      <c r="U99" s="160" t="e">
        <f t="shared" si="20"/>
        <v>#DIV/0!</v>
      </c>
      <c r="V99" s="170" t="e">
        <f t="shared" si="21"/>
        <v>#DIV/0!</v>
      </c>
      <c r="W99" s="159" t="e">
        <f t="shared" si="22"/>
        <v>#DIV/0!</v>
      </c>
      <c r="X99" s="117" t="e">
        <f t="shared" si="24"/>
        <v>#DIV/0!</v>
      </c>
    </row>
    <row r="100" spans="1:24" ht="12.75">
      <c r="A100" s="58">
        <v>107028</v>
      </c>
      <c r="B100" s="5">
        <f>B$19*'Data Summary'!$D74</f>
        <v>0.007180901329859173</v>
      </c>
      <c r="C100" s="5">
        <f>C$19*'Data Summary'!$D74</f>
        <v>0.002775685247296814</v>
      </c>
      <c r="D100" s="5">
        <f>D$19*'Data Summary'!$D74</f>
        <v>0.0038815371788922886</v>
      </c>
      <c r="E100" s="5">
        <f>E$19*'Data Summary'!$D74</f>
        <v>0.0023624882322580048</v>
      </c>
      <c r="F100" s="5">
        <f>F$19*'Data Summary'!$D74</f>
        <v>0.0001968951850211538</v>
      </c>
      <c r="G100" s="5">
        <f>G$19*'Data Summary'!$D74</f>
        <v>0.005827907882674033</v>
      </c>
      <c r="H100" s="5">
        <f>H$19*'Data Summary'!$D74</f>
        <v>0.00046911720113508614</v>
      </c>
      <c r="I100" s="5">
        <f>I$19*'Data Summary'!$D74</f>
        <v>6.860512388955581E-05</v>
      </c>
      <c r="J100" s="5">
        <f>J$19*'Data Summary'!$D74</f>
        <v>0.0001320913600110151</v>
      </c>
      <c r="K100" s="5">
        <f>K$19*'Data Summary'!$D74</f>
        <v>0.0003129687888637457</v>
      </c>
      <c r="L100" s="5">
        <f>L$19*'Data Summary'!$D74</f>
        <v>4.192739046194391E-05</v>
      </c>
      <c r="M100" s="5">
        <f>M$19*'Data Summary'!$D74</f>
        <v>4.502861690346084E-05</v>
      </c>
      <c r="N100" s="6">
        <f>N$19*'Data Summary'!$D74</f>
        <v>0.0282775346563132</v>
      </c>
      <c r="Q100" s="211">
        <v>3</v>
      </c>
      <c r="R100" s="202" t="e">
        <f>'Scalar Factors'!L6</f>
        <v>#DIV/0!</v>
      </c>
      <c r="S100" s="157" t="e">
        <f t="shared" si="19"/>
        <v>#DIV/0!</v>
      </c>
      <c r="T100" s="158" t="e">
        <f t="shared" si="23"/>
        <v>#DIV/0!</v>
      </c>
      <c r="U100" s="160" t="e">
        <f t="shared" si="20"/>
        <v>#DIV/0!</v>
      </c>
      <c r="V100" s="170" t="e">
        <f t="shared" si="21"/>
        <v>#DIV/0!</v>
      </c>
      <c r="W100" s="159" t="e">
        <f t="shared" si="22"/>
        <v>#DIV/0!</v>
      </c>
      <c r="X100" s="117" t="e">
        <f t="shared" si="24"/>
        <v>#DIV/0!</v>
      </c>
    </row>
    <row r="101" spans="1:24" ht="12.75">
      <c r="A101" s="58">
        <v>71432</v>
      </c>
      <c r="B101" s="5">
        <f>B$19*'Data Summary'!$D75</f>
        <v>0.1364371252673243</v>
      </c>
      <c r="C101" s="5">
        <f>C$19*'Data Summary'!$D75</f>
        <v>0.05273801969863946</v>
      </c>
      <c r="D101" s="5">
        <f>D$19*'Data Summary'!$D75</f>
        <v>0.07374920639895348</v>
      </c>
      <c r="E101" s="5">
        <f>E$19*'Data Summary'!$D75</f>
        <v>0.0448872764129021</v>
      </c>
      <c r="F101" s="5">
        <f>F$19*'Data Summary'!$D75</f>
        <v>0.003741008515401922</v>
      </c>
      <c r="G101" s="5">
        <f>G$19*'Data Summary'!$D75</f>
        <v>0.11073024977080663</v>
      </c>
      <c r="H101" s="5">
        <f>H$19*'Data Summary'!$D75</f>
        <v>0.008913226821566637</v>
      </c>
      <c r="I101" s="5">
        <f>I$19*'Data Summary'!$D75</f>
        <v>0.0013034973539015604</v>
      </c>
      <c r="J101" s="5">
        <f>J$19*'Data Summary'!$D75</f>
        <v>0.002509735840209287</v>
      </c>
      <c r="K101" s="5">
        <f>K$19*'Data Summary'!$D75</f>
        <v>0.0059464069884111685</v>
      </c>
      <c r="L101" s="5">
        <f>L$19*'Data Summary'!$D75</f>
        <v>0.0007966204187769344</v>
      </c>
      <c r="M101" s="5">
        <f>M$19*'Data Summary'!$D75</f>
        <v>0.000855543721165756</v>
      </c>
      <c r="N101" s="6">
        <f>N$19*'Data Summary'!$D75</f>
        <v>0.5372731584699508</v>
      </c>
      <c r="Q101" s="211">
        <v>4</v>
      </c>
      <c r="R101" s="202" t="e">
        <f>'Scalar Factors'!L7</f>
        <v>#DIV/0!</v>
      </c>
      <c r="S101" s="157" t="e">
        <f t="shared" si="19"/>
        <v>#DIV/0!</v>
      </c>
      <c r="T101" s="158" t="e">
        <f t="shared" si="23"/>
        <v>#DIV/0!</v>
      </c>
      <c r="U101" s="160" t="e">
        <f t="shared" si="20"/>
        <v>#DIV/0!</v>
      </c>
      <c r="V101" s="170" t="e">
        <f t="shared" si="21"/>
        <v>#DIV/0!</v>
      </c>
      <c r="W101" s="159" t="e">
        <f t="shared" si="22"/>
        <v>#DIV/0!</v>
      </c>
      <c r="X101" s="117" t="e">
        <f t="shared" si="24"/>
        <v>#DIV/0!</v>
      </c>
    </row>
    <row r="102" spans="1:24" ht="12.75">
      <c r="A102" s="58">
        <v>106990</v>
      </c>
      <c r="B102" s="5">
        <f>B$19*'Data Summary'!$D76</f>
        <v>0.030380736395558036</v>
      </c>
      <c r="C102" s="5">
        <f>C$19*'Data Summary'!$D76</f>
        <v>0.011743283738563443</v>
      </c>
      <c r="D102" s="5">
        <f>D$19*'Data Summary'!$D76</f>
        <v>0.016421888064544296</v>
      </c>
      <c r="E102" s="5">
        <f>E$19*'Data Summary'!$D76</f>
        <v>0.009995142521091559</v>
      </c>
      <c r="F102" s="5">
        <f>F$19*'Data Summary'!$D76</f>
        <v>0.0008330180904741122</v>
      </c>
      <c r="G102" s="5">
        <f>G$19*'Data Summary'!$D76</f>
        <v>0.024656533349774756</v>
      </c>
      <c r="H102" s="5">
        <f>H$19*'Data Summary'!$D76</f>
        <v>0.0019847266201869027</v>
      </c>
      <c r="I102" s="5">
        <f>I$19*'Data Summary'!$D76</f>
        <v>0.0002902524472250438</v>
      </c>
      <c r="J102" s="5">
        <f>J$19*'Data Summary'!$D76</f>
        <v>0.0005588480615850639</v>
      </c>
      <c r="K102" s="5">
        <f>K$19*'Data Summary'!$D76</f>
        <v>0.0013240987221158473</v>
      </c>
      <c r="L102" s="5">
        <f>L$19*'Data Summary'!$D76</f>
        <v>0.00017738511349283965</v>
      </c>
      <c r="M102" s="5">
        <f>M$19*'Data Summary'!$D76</f>
        <v>0.0001905056868992574</v>
      </c>
      <c r="N102" s="6">
        <f>N$19*'Data Summary'!$D76</f>
        <v>0.11963572354594047</v>
      </c>
      <c r="Q102" s="211">
        <v>5</v>
      </c>
      <c r="R102" s="202" t="e">
        <f>'Scalar Factors'!L8</f>
        <v>#DIV/0!</v>
      </c>
      <c r="S102" s="157" t="e">
        <f t="shared" si="19"/>
        <v>#DIV/0!</v>
      </c>
      <c r="T102" s="158" t="e">
        <f t="shared" si="23"/>
        <v>#DIV/0!</v>
      </c>
      <c r="U102" s="160" t="e">
        <f t="shared" si="20"/>
        <v>#DIV/0!</v>
      </c>
      <c r="V102" s="170" t="e">
        <f t="shared" si="21"/>
        <v>#DIV/0!</v>
      </c>
      <c r="W102" s="159" t="e">
        <f t="shared" si="22"/>
        <v>#DIV/0!</v>
      </c>
      <c r="X102" s="117" t="e">
        <f t="shared" si="24"/>
        <v>#DIV/0!</v>
      </c>
    </row>
    <row r="103" spans="1:24" ht="12.75">
      <c r="A103" s="58">
        <v>100414</v>
      </c>
      <c r="B103" s="5">
        <f>B$19*'Data Summary'!$D77</f>
        <v>0.05799958766424717</v>
      </c>
      <c r="C103" s="5">
        <f>C$19*'Data Summary'!$D77</f>
        <v>0.022418996228166576</v>
      </c>
      <c r="D103" s="5">
        <f>D$19*'Data Summary'!$D77</f>
        <v>0.031350877214130025</v>
      </c>
      <c r="E103" s="5">
        <f>E$19*'Data Summary'!$D77</f>
        <v>0.01908163572208389</v>
      </c>
      <c r="F103" s="5">
        <f>F$19*'Data Summary'!$D77</f>
        <v>0.001590307263632396</v>
      </c>
      <c r="G103" s="5">
        <f>G$19*'Data Summary'!$D77</f>
        <v>0.04707156366775181</v>
      </c>
      <c r="H103" s="5">
        <f>H$19*'Data Summary'!$D77</f>
        <v>0.0037890235476295423</v>
      </c>
      <c r="I103" s="5">
        <f>I$19*'Data Summary'!$D77</f>
        <v>0.00055411830833872</v>
      </c>
      <c r="J103" s="5">
        <f>J$19*'Data Summary'!$D77</f>
        <v>0.001066891753935122</v>
      </c>
      <c r="K103" s="5">
        <f>K$19*'Data Summary'!$D77</f>
        <v>0.002527824833130254</v>
      </c>
      <c r="L103" s="5">
        <f>L$19*'Data Summary'!$D77</f>
        <v>0.00033864430757723937</v>
      </c>
      <c r="M103" s="5">
        <f>M$19*'Data Summary'!$D77</f>
        <v>0.0003636926749894914</v>
      </c>
      <c r="N103" s="6">
        <f>N$19*'Data Summary'!$D77</f>
        <v>0.2283954722240682</v>
      </c>
      <c r="Q103" s="211">
        <v>6</v>
      </c>
      <c r="R103" s="202" t="e">
        <f>'Scalar Factors'!L9</f>
        <v>#DIV/0!</v>
      </c>
      <c r="S103" s="157" t="e">
        <f t="shared" si="19"/>
        <v>#DIV/0!</v>
      </c>
      <c r="T103" s="158" t="e">
        <f t="shared" si="23"/>
        <v>#DIV/0!</v>
      </c>
      <c r="U103" s="160" t="e">
        <f t="shared" si="20"/>
        <v>#DIV/0!</v>
      </c>
      <c r="V103" s="170" t="e">
        <f t="shared" si="21"/>
        <v>#DIV/0!</v>
      </c>
      <c r="W103" s="159" t="e">
        <f t="shared" si="22"/>
        <v>#DIV/0!</v>
      </c>
      <c r="X103" s="117" t="e">
        <f t="shared" si="24"/>
        <v>#DIV/0!</v>
      </c>
    </row>
    <row r="104" spans="1:24" ht="12.75">
      <c r="A104" s="58">
        <v>50000</v>
      </c>
      <c r="B104" s="5">
        <f>B$19*'Data Summary'!$D78</f>
        <v>0.08727557000905765</v>
      </c>
      <c r="C104" s="5">
        <f>C$19*'Data Summary'!$D78</f>
        <v>0.0337352514671459</v>
      </c>
      <c r="D104" s="5">
        <f>D$19*'Data Summary'!$D78</f>
        <v>0.047175605712690895</v>
      </c>
      <c r="E104" s="5">
        <f>E$19*'Data Summary'!$D78</f>
        <v>0.028713318515135755</v>
      </c>
      <c r="F104" s="5">
        <f>F$19*'Data Summary'!$D78</f>
        <v>0.002393033787180177</v>
      </c>
      <c r="G104" s="5">
        <f>G$19*'Data Summary'!$D78</f>
        <v>0.07083149580480749</v>
      </c>
      <c r="H104" s="5">
        <f>H$19*'Data Summary'!$D78</f>
        <v>0.0057015782907187396</v>
      </c>
      <c r="I104" s="5">
        <f>I$19*'Data Summary'!$D78</f>
        <v>0.0008338161211192169</v>
      </c>
      <c r="J104" s="5">
        <f>J$19*'Data Summary'!$D78</f>
        <v>0.0016054180678261836</v>
      </c>
      <c r="K104" s="5">
        <f>K$19*'Data Summary'!$D78</f>
        <v>0.0038037745108055253</v>
      </c>
      <c r="L104" s="5">
        <f>L$19*'Data Summary'!$D78</f>
        <v>0.000509579053306703</v>
      </c>
      <c r="M104" s="5">
        <f>M$19*'Data Summary'!$D78</f>
        <v>0.0005472708823651395</v>
      </c>
      <c r="N104" s="6">
        <f>N$19*'Data Summary'!$D78</f>
        <v>0.3436808058228836</v>
      </c>
      <c r="Q104" s="211">
        <v>7</v>
      </c>
      <c r="R104" s="202" t="e">
        <f>'Scalar Factors'!L10</f>
        <v>#DIV/0!</v>
      </c>
      <c r="S104" s="157" t="e">
        <f t="shared" si="19"/>
        <v>#DIV/0!</v>
      </c>
      <c r="T104" s="158" t="e">
        <f t="shared" si="23"/>
        <v>#DIV/0!</v>
      </c>
      <c r="U104" s="160" t="e">
        <f t="shared" si="20"/>
        <v>#DIV/0!</v>
      </c>
      <c r="V104" s="170" t="e">
        <f t="shared" si="21"/>
        <v>#DIV/0!</v>
      </c>
      <c r="W104" s="159" t="e">
        <f t="shared" si="22"/>
        <v>#DIV/0!</v>
      </c>
      <c r="X104" s="117" t="e">
        <f t="shared" si="24"/>
        <v>#DIV/0!</v>
      </c>
    </row>
    <row r="105" spans="1:24" ht="15" customHeight="1">
      <c r="A105" s="58">
        <v>110543</v>
      </c>
      <c r="B105" s="5">
        <f>B$19*'Data Summary'!$D79</f>
        <v>0.08838032405980521</v>
      </c>
      <c r="C105" s="5">
        <f>C$19*'Data Summary'!$D79</f>
        <v>0.03416227996673002</v>
      </c>
      <c r="D105" s="5">
        <f>D$19*'Data Summary'!$D79</f>
        <v>0.04777276527867432</v>
      </c>
      <c r="E105" s="5">
        <f>E$19*'Data Summary'!$D79</f>
        <v>0.029076778243175446</v>
      </c>
      <c r="F105" s="5">
        <f>F$19*'Data Summary'!$D79</f>
        <v>0.0024233253541065085</v>
      </c>
      <c r="G105" s="5">
        <f>G$19*'Data Summary'!$D79</f>
        <v>0.07172809701752657</v>
      </c>
      <c r="H105" s="5">
        <f>H$19*'Data Summary'!$D79</f>
        <v>0.005773750167816445</v>
      </c>
      <c r="I105" s="5">
        <f>I$19*'Data Summary'!$D79</f>
        <v>0.0008443707555637639</v>
      </c>
      <c r="J105" s="5">
        <f>J$19*'Data Summary'!$D79</f>
        <v>0.0016257398155201858</v>
      </c>
      <c r="K105" s="5">
        <f>K$19*'Data Summary'!$D79</f>
        <v>0.0038519235552461014</v>
      </c>
      <c r="L105" s="5">
        <f>L$19*'Data Summary'!$D79</f>
        <v>0.000516029421070079</v>
      </c>
      <c r="M105" s="5">
        <f>M$19*'Data Summary'!$D79</f>
        <v>0.0005541983618887489</v>
      </c>
      <c r="N105" s="6">
        <f>N$19*'Data Summary'!$D79</f>
        <v>0.3480311957700087</v>
      </c>
      <c r="Q105" s="211">
        <v>8</v>
      </c>
      <c r="R105" s="202" t="e">
        <f>'Scalar Factors'!L11</f>
        <v>#DIV/0!</v>
      </c>
      <c r="S105" s="157" t="e">
        <f t="shared" si="19"/>
        <v>#DIV/0!</v>
      </c>
      <c r="T105" s="158" t="e">
        <f t="shared" si="23"/>
        <v>#DIV/0!</v>
      </c>
      <c r="U105" s="160" t="e">
        <f t="shared" si="20"/>
        <v>#DIV/0!</v>
      </c>
      <c r="V105" s="170" t="e">
        <f t="shared" si="21"/>
        <v>#DIV/0!</v>
      </c>
      <c r="W105" s="159" t="e">
        <f t="shared" si="22"/>
        <v>#DIV/0!</v>
      </c>
      <c r="X105" s="117" t="e">
        <f t="shared" si="24"/>
        <v>#DIV/0!</v>
      </c>
    </row>
    <row r="106" spans="1:24" ht="12.75">
      <c r="A106" s="58">
        <v>67561</v>
      </c>
      <c r="B106" s="5">
        <f>B$19*'Data Summary'!$D80</f>
        <v>0.006628524304485389</v>
      </c>
      <c r="C106" s="5">
        <f>C$19*'Data Summary'!$D80</f>
        <v>0.002562170997504751</v>
      </c>
      <c r="D106" s="5">
        <f>D$19*'Data Summary'!$D80</f>
        <v>0.003582957395900574</v>
      </c>
      <c r="E106" s="5">
        <f>E$19*'Data Summary'!$D80</f>
        <v>0.0021807583682381584</v>
      </c>
      <c r="F106" s="5">
        <f>F$19*'Data Summary'!$D80</f>
        <v>0.0001817494015579881</v>
      </c>
      <c r="G106" s="5">
        <f>G$19*'Data Summary'!$D80</f>
        <v>0.005379607276314492</v>
      </c>
      <c r="H106" s="5">
        <f>H$19*'Data Summary'!$D80</f>
        <v>0.0004330312625862333</v>
      </c>
      <c r="I106" s="5">
        <f>I$19*'Data Summary'!$D80</f>
        <v>6.332780666728229E-05</v>
      </c>
      <c r="J106" s="5">
        <f>J$19*'Data Summary'!$D80</f>
        <v>0.00012193048616401393</v>
      </c>
      <c r="K106" s="5">
        <f>K$19*'Data Summary'!$D80</f>
        <v>0.0002888942666434576</v>
      </c>
      <c r="L106" s="5">
        <f>L$19*'Data Summary'!$D80</f>
        <v>3.870220658025592E-05</v>
      </c>
      <c r="M106" s="5">
        <f>M$19*'Data Summary'!$D80</f>
        <v>4.156487714165616E-05</v>
      </c>
      <c r="N106" s="6">
        <f>N$19*'Data Summary'!$D80</f>
        <v>0.026102339682750646</v>
      </c>
      <c r="Q106" s="211">
        <v>9</v>
      </c>
      <c r="R106" s="202" t="e">
        <f>'Scalar Factors'!L12</f>
        <v>#DIV/0!</v>
      </c>
      <c r="S106" s="157" t="e">
        <f t="shared" si="19"/>
        <v>#DIV/0!</v>
      </c>
      <c r="T106" s="158" t="e">
        <f t="shared" si="23"/>
        <v>#DIV/0!</v>
      </c>
      <c r="U106" s="160" t="e">
        <f t="shared" si="20"/>
        <v>#DIV/0!</v>
      </c>
      <c r="V106" s="170" t="e">
        <f t="shared" si="21"/>
        <v>#DIV/0!</v>
      </c>
      <c r="W106" s="159" t="e">
        <f t="shared" si="22"/>
        <v>#DIV/0!</v>
      </c>
      <c r="X106" s="117" t="e">
        <f t="shared" si="24"/>
        <v>#DIV/0!</v>
      </c>
    </row>
    <row r="107" spans="1:24" ht="12.75">
      <c r="A107" s="58">
        <v>78933</v>
      </c>
      <c r="B107" s="5">
        <f>B$19*'Data Summary'!$D81</f>
        <v>0.0011047540507475651</v>
      </c>
      <c r="C107" s="5">
        <f>C$19*'Data Summary'!$D81</f>
        <v>0.00042702849958412524</v>
      </c>
      <c r="D107" s="5">
        <f>D$19*'Data Summary'!$D81</f>
        <v>0.0005971595659834291</v>
      </c>
      <c r="E107" s="5">
        <f>E$19*'Data Summary'!$D81</f>
        <v>0.0003634597280396931</v>
      </c>
      <c r="F107" s="5">
        <f>F$19*'Data Summary'!$D81</f>
        <v>3.0291566926331355E-05</v>
      </c>
      <c r="G107" s="5">
        <f>G$19*'Data Summary'!$D81</f>
        <v>0.0008966012127190821</v>
      </c>
      <c r="H107" s="5">
        <f>H$19*'Data Summary'!$D81</f>
        <v>7.217187709770557E-05</v>
      </c>
      <c r="I107" s="5">
        <f>I$19*'Data Summary'!$D81</f>
        <v>1.0554634444547048E-05</v>
      </c>
      <c r="J107" s="5">
        <f>J$19*'Data Summary'!$D81</f>
        <v>2.0321747694002324E-05</v>
      </c>
      <c r="K107" s="5">
        <f>K$19*'Data Summary'!$D81</f>
        <v>4.814904444057627E-05</v>
      </c>
      <c r="L107" s="5">
        <f>L$19*'Data Summary'!$D81</f>
        <v>6.450367763375988E-06</v>
      </c>
      <c r="M107" s="5">
        <f>M$19*'Data Summary'!$D81</f>
        <v>6.92747952360936E-06</v>
      </c>
      <c r="N107" s="6">
        <f>N$19*'Data Summary'!$D81</f>
        <v>0.004350389947125108</v>
      </c>
      <c r="Q107" s="211">
        <v>10</v>
      </c>
      <c r="R107" s="202" t="e">
        <f>'Scalar Factors'!L13</f>
        <v>#DIV/0!</v>
      </c>
      <c r="S107" s="157" t="e">
        <f t="shared" si="19"/>
        <v>#DIV/0!</v>
      </c>
      <c r="T107" s="158" t="e">
        <f t="shared" si="23"/>
        <v>#DIV/0!</v>
      </c>
      <c r="U107" s="160" t="e">
        <f t="shared" si="20"/>
        <v>#DIV/0!</v>
      </c>
      <c r="V107" s="170" t="e">
        <f t="shared" si="21"/>
        <v>#DIV/0!</v>
      </c>
      <c r="W107" s="159" t="e">
        <f t="shared" si="22"/>
        <v>#DIV/0!</v>
      </c>
      <c r="X107" s="117" t="e">
        <f t="shared" si="24"/>
        <v>#DIV/0!</v>
      </c>
    </row>
    <row r="108" spans="1:24" ht="12.75">
      <c r="A108" s="58">
        <v>91203</v>
      </c>
      <c r="B108" s="5">
        <f>B$19*'Data Summary'!$D82</f>
        <v>0.002761885126868913</v>
      </c>
      <c r="C108" s="5">
        <f>C$19*'Data Summary'!$D82</f>
        <v>0.001067571248960313</v>
      </c>
      <c r="D108" s="5">
        <f>D$19*'Data Summary'!$D82</f>
        <v>0.0014928989149585725</v>
      </c>
      <c r="E108" s="5">
        <f>E$19*'Data Summary'!$D82</f>
        <v>0.0009086493200992327</v>
      </c>
      <c r="F108" s="5">
        <f>F$19*'Data Summary'!$D82</f>
        <v>7.572891731582839E-05</v>
      </c>
      <c r="G108" s="5">
        <f>G$19*'Data Summary'!$D82</f>
        <v>0.0022415030317977053</v>
      </c>
      <c r="H108" s="5">
        <f>H$19*'Data Summary'!$D82</f>
        <v>0.0001804296927442639</v>
      </c>
      <c r="I108" s="5">
        <f>I$19*'Data Summary'!$D82</f>
        <v>2.638658611136762E-05</v>
      </c>
      <c r="J108" s="5">
        <f>J$19*'Data Summary'!$D82</f>
        <v>5.080436923500581E-05</v>
      </c>
      <c r="K108" s="5">
        <f>K$19*'Data Summary'!$D82</f>
        <v>0.00012037261110144067</v>
      </c>
      <c r="L108" s="5">
        <f>L$19*'Data Summary'!$D82</f>
        <v>1.6125919408439968E-05</v>
      </c>
      <c r="M108" s="5">
        <f>M$19*'Data Summary'!$D82</f>
        <v>1.7318698809023403E-05</v>
      </c>
      <c r="N108" s="6">
        <f>N$19*'Data Summary'!$D82</f>
        <v>0.010875974867812771</v>
      </c>
      <c r="Q108" s="211">
        <v>11</v>
      </c>
      <c r="R108" s="202" t="e">
        <f>'Scalar Factors'!L14</f>
        <v>#DIV/0!</v>
      </c>
      <c r="S108" s="157" t="e">
        <f t="shared" si="19"/>
        <v>#DIV/0!</v>
      </c>
      <c r="T108" s="158" t="e">
        <f t="shared" si="23"/>
        <v>#DIV/0!</v>
      </c>
      <c r="U108" s="160" t="e">
        <f t="shared" si="20"/>
        <v>#DIV/0!</v>
      </c>
      <c r="V108" s="170" t="e">
        <f t="shared" si="21"/>
        <v>#DIV/0!</v>
      </c>
      <c r="W108" s="159" t="e">
        <f t="shared" si="22"/>
        <v>#DIV/0!</v>
      </c>
      <c r="X108" s="117" t="e">
        <f t="shared" si="24"/>
        <v>#DIV/0!</v>
      </c>
    </row>
    <row r="109" spans="1:24" ht="12.75">
      <c r="A109" s="58">
        <v>115071</v>
      </c>
      <c r="B109" s="5">
        <f>B$19*'Data Summary'!$D83</f>
        <v>0.16902736976437743</v>
      </c>
      <c r="C109" s="5">
        <f>C$19*'Data Summary'!$D83</f>
        <v>0.06533536043637116</v>
      </c>
      <c r="D109" s="5">
        <f>D$19*'Data Summary'!$D83</f>
        <v>0.09136541359546463</v>
      </c>
      <c r="E109" s="5">
        <f>E$19*'Data Summary'!$D83</f>
        <v>0.05560933839007304</v>
      </c>
      <c r="F109" s="5">
        <f>F$19*'Data Summary'!$D83</f>
        <v>0.004634609739728697</v>
      </c>
      <c r="G109" s="5">
        <f>G$19*'Data Summary'!$D83</f>
        <v>0.13717998554601954</v>
      </c>
      <c r="H109" s="5">
        <f>H$19*'Data Summary'!$D83</f>
        <v>0.011042297195948951</v>
      </c>
      <c r="I109" s="5">
        <f>I$19*'Data Summary'!$D83</f>
        <v>0.0016148590700156983</v>
      </c>
      <c r="J109" s="5">
        <f>J$19*'Data Summary'!$D83</f>
        <v>0.003109227397182355</v>
      </c>
      <c r="K109" s="5">
        <f>K$19*'Data Summary'!$D83</f>
        <v>0.007366803799408168</v>
      </c>
      <c r="L109" s="5">
        <f>L$19*'Data Summary'!$D83</f>
        <v>0.0009869062677965261</v>
      </c>
      <c r="M109" s="5">
        <f>M$19*'Data Summary'!$D83</f>
        <v>0.001059904367112232</v>
      </c>
      <c r="N109" s="6">
        <f>N$19*'Data Summary'!$D83</f>
        <v>0.6656096619101415</v>
      </c>
      <c r="Q109" s="211">
        <v>12</v>
      </c>
      <c r="R109" s="202" t="e">
        <f>'Scalar Factors'!L15</f>
        <v>#DIV/0!</v>
      </c>
      <c r="S109" s="157" t="e">
        <f t="shared" si="19"/>
        <v>#DIV/0!</v>
      </c>
      <c r="T109" s="158" t="e">
        <f t="shared" si="23"/>
        <v>#DIV/0!</v>
      </c>
      <c r="U109" s="160" t="e">
        <f t="shared" si="20"/>
        <v>#DIV/0!</v>
      </c>
      <c r="V109" s="170" t="e">
        <f t="shared" si="21"/>
        <v>#DIV/0!</v>
      </c>
      <c r="W109" s="159" t="e">
        <f t="shared" si="22"/>
        <v>#DIV/0!</v>
      </c>
      <c r="X109" s="117" t="e">
        <f t="shared" si="24"/>
        <v>#DIV/0!</v>
      </c>
    </row>
    <row r="110" spans="1:24" ht="12.75">
      <c r="A110" s="58">
        <v>100425</v>
      </c>
      <c r="B110" s="5">
        <f>B$19*'Data Summary'!$D84</f>
        <v>0.006628524304485389</v>
      </c>
      <c r="C110" s="5">
        <f>C$19*'Data Summary'!$D84</f>
        <v>0.002562170997504751</v>
      </c>
      <c r="D110" s="5">
        <f>D$19*'Data Summary'!$D84</f>
        <v>0.003582957395900574</v>
      </c>
      <c r="E110" s="5">
        <f>E$19*'Data Summary'!$D84</f>
        <v>0.0021807583682381584</v>
      </c>
      <c r="F110" s="5">
        <f>F$19*'Data Summary'!$D84</f>
        <v>0.0001817494015579881</v>
      </c>
      <c r="G110" s="5">
        <f>G$19*'Data Summary'!$D84</f>
        <v>0.005379607276314492</v>
      </c>
      <c r="H110" s="5">
        <f>H$19*'Data Summary'!$D84</f>
        <v>0.0004330312625862333</v>
      </c>
      <c r="I110" s="5">
        <f>I$19*'Data Summary'!$D84</f>
        <v>6.332780666728229E-05</v>
      </c>
      <c r="J110" s="5">
        <f>J$19*'Data Summary'!$D84</f>
        <v>0.00012193048616401393</v>
      </c>
      <c r="K110" s="5">
        <f>K$19*'Data Summary'!$D84</f>
        <v>0.0002888942666434576</v>
      </c>
      <c r="L110" s="5">
        <f>L$19*'Data Summary'!$D84</f>
        <v>3.870220658025592E-05</v>
      </c>
      <c r="M110" s="5">
        <f>M$19*'Data Summary'!$D84</f>
        <v>4.156487714165616E-05</v>
      </c>
      <c r="N110" s="6">
        <f>N$19*'Data Summary'!$D84</f>
        <v>0.026102339682750646</v>
      </c>
      <c r="Q110" s="211">
        <v>13</v>
      </c>
      <c r="R110" s="202" t="e">
        <f>'Scalar Factors'!L16</f>
        <v>#DIV/0!</v>
      </c>
      <c r="S110" s="157" t="e">
        <f t="shared" si="19"/>
        <v>#DIV/0!</v>
      </c>
      <c r="T110" s="158" t="e">
        <f t="shared" si="23"/>
        <v>#DIV/0!</v>
      </c>
      <c r="U110" s="160" t="e">
        <f t="shared" si="20"/>
        <v>#DIV/0!</v>
      </c>
      <c r="V110" s="170" t="e">
        <f t="shared" si="21"/>
        <v>#DIV/0!</v>
      </c>
      <c r="W110" s="159" t="e">
        <f t="shared" si="22"/>
        <v>#DIV/0!</v>
      </c>
      <c r="X110" s="117" t="e">
        <f t="shared" si="24"/>
        <v>#DIV/0!</v>
      </c>
    </row>
    <row r="111" spans="1:24" ht="13.5" customHeight="1">
      <c r="A111" s="58">
        <v>108883</v>
      </c>
      <c r="B111" s="5">
        <f>B$19*'Data Summary'!$D85</f>
        <v>0.3181691666152987</v>
      </c>
      <c r="C111" s="5">
        <f>C$19*'Data Summary'!$D85</f>
        <v>0.12298420788022807</v>
      </c>
      <c r="D111" s="5">
        <f>D$19*'Data Summary'!$D85</f>
        <v>0.17198195500322755</v>
      </c>
      <c r="E111" s="5">
        <f>E$19*'Data Summary'!$D85</f>
        <v>0.1046764016754316</v>
      </c>
      <c r="F111" s="5">
        <f>F$19*'Data Summary'!$D85</f>
        <v>0.00872397127478343</v>
      </c>
      <c r="G111" s="5">
        <f>G$19*'Data Summary'!$D85</f>
        <v>0.25822114926309564</v>
      </c>
      <c r="H111" s="5">
        <f>H$19*'Data Summary'!$D85</f>
        <v>0.020785500604139202</v>
      </c>
      <c r="I111" s="5">
        <f>I$19*'Data Summary'!$D85</f>
        <v>0.0030397347200295495</v>
      </c>
      <c r="J111" s="5">
        <f>J$19*'Data Summary'!$D85</f>
        <v>0.005852663335872669</v>
      </c>
      <c r="K111" s="5">
        <f>K$19*'Data Summary'!$D85</f>
        <v>0.013866924798885964</v>
      </c>
      <c r="L111" s="5">
        <f>L$19*'Data Summary'!$D85</f>
        <v>0.0018577059158522843</v>
      </c>
      <c r="M111" s="5">
        <f>M$19*'Data Summary'!$D85</f>
        <v>0.0019951141027994956</v>
      </c>
      <c r="N111" s="6">
        <f>N$19*'Data Summary'!$D85</f>
        <v>1.2529123047720312</v>
      </c>
      <c r="Q111" s="211">
        <v>14</v>
      </c>
      <c r="R111" s="202" t="e">
        <f>'Scalar Factors'!L17</f>
        <v>#DIV/0!</v>
      </c>
      <c r="S111" s="157" t="e">
        <f t="shared" si="19"/>
        <v>#DIV/0!</v>
      </c>
      <c r="T111" s="158" t="e">
        <f t="shared" si="23"/>
        <v>#DIV/0!</v>
      </c>
      <c r="U111" s="160" t="e">
        <f t="shared" si="20"/>
        <v>#DIV/0!</v>
      </c>
      <c r="V111" s="170" t="e">
        <f t="shared" si="21"/>
        <v>#DIV/0!</v>
      </c>
      <c r="W111" s="159" t="e">
        <f t="shared" si="22"/>
        <v>#DIV/0!</v>
      </c>
      <c r="X111" s="117" t="e">
        <f t="shared" si="24"/>
        <v>#DIV/0!</v>
      </c>
    </row>
    <row r="112" spans="1:24" ht="13.5" thickBot="1">
      <c r="A112" s="59">
        <v>1330207</v>
      </c>
      <c r="B112" s="5">
        <f>B$19*'Data Summary'!$D86</f>
        <v>0.2651409721794156</v>
      </c>
      <c r="C112" s="5">
        <f>C$19*'Data Summary'!$D86</f>
        <v>0.10248683990019006</v>
      </c>
      <c r="D112" s="5">
        <f>D$19*'Data Summary'!$D86</f>
        <v>0.14331829583602296</v>
      </c>
      <c r="E112" s="5">
        <f>E$19*'Data Summary'!$D86</f>
        <v>0.08723033472952635</v>
      </c>
      <c r="F112" s="5">
        <f>F$19*'Data Summary'!$D86</f>
        <v>0.0072699760623195255</v>
      </c>
      <c r="G112" s="5">
        <f>G$19*'Data Summary'!$D86</f>
        <v>0.2151842910525797</v>
      </c>
      <c r="H112" s="5">
        <f>H$19*'Data Summary'!$D86</f>
        <v>0.017321250503449334</v>
      </c>
      <c r="I112" s="5">
        <f>I$19*'Data Summary'!$D86</f>
        <v>0.0025331122666912916</v>
      </c>
      <c r="J112" s="5">
        <f>J$19*'Data Summary'!$D86</f>
        <v>0.004877219446560558</v>
      </c>
      <c r="K112" s="5">
        <f>K$19*'Data Summary'!$D86</f>
        <v>0.011555770665738305</v>
      </c>
      <c r="L112" s="5">
        <f>L$19*'Data Summary'!$D86</f>
        <v>0.001548088263210237</v>
      </c>
      <c r="M112" s="5">
        <f>M$19*'Data Summary'!$D86</f>
        <v>0.0016625950856662465</v>
      </c>
      <c r="N112" s="6">
        <f>N$19*'Data Summary'!$D86</f>
        <v>1.0440935873100259</v>
      </c>
      <c r="Q112" s="211">
        <v>15</v>
      </c>
      <c r="R112" s="202" t="e">
        <f>'Scalar Factors'!L18</f>
        <v>#DIV/0!</v>
      </c>
      <c r="S112" s="157" t="e">
        <f t="shared" si="19"/>
        <v>#DIV/0!</v>
      </c>
      <c r="T112" s="158" t="e">
        <f t="shared" si="23"/>
        <v>#DIV/0!</v>
      </c>
      <c r="U112" s="160" t="e">
        <f t="shared" si="20"/>
        <v>#DIV/0!</v>
      </c>
      <c r="V112" s="170" t="e">
        <f t="shared" si="21"/>
        <v>#DIV/0!</v>
      </c>
      <c r="W112" s="159" t="e">
        <f t="shared" si="22"/>
        <v>#DIV/0!</v>
      </c>
      <c r="X112" s="117" t="e">
        <f t="shared" si="24"/>
        <v>#DIV/0!</v>
      </c>
    </row>
    <row r="113" spans="1:24" ht="13.5" thickBot="1">
      <c r="A113" s="289" t="s">
        <v>71</v>
      </c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1"/>
      <c r="Q113" s="161">
        <v>16</v>
      </c>
      <c r="R113" s="202" t="e">
        <f>'Scalar Factors'!L19</f>
        <v>#DIV/0!</v>
      </c>
      <c r="S113" s="157" t="e">
        <f t="shared" si="19"/>
        <v>#DIV/0!</v>
      </c>
      <c r="T113" s="158" t="e">
        <f t="shared" si="23"/>
        <v>#DIV/0!</v>
      </c>
      <c r="U113" s="160" t="e">
        <f t="shared" si="20"/>
        <v>#DIV/0!</v>
      </c>
      <c r="V113" s="170" t="e">
        <f t="shared" si="21"/>
        <v>#DIV/0!</v>
      </c>
      <c r="W113" s="159" t="e">
        <f t="shared" si="22"/>
        <v>#DIV/0!</v>
      </c>
      <c r="X113" s="117" t="e">
        <f t="shared" si="24"/>
        <v>#DIV/0!</v>
      </c>
    </row>
    <row r="114" spans="1:24" ht="12.75">
      <c r="A114" s="209">
        <v>71432</v>
      </c>
      <c r="B114" s="108">
        <f>B$28*'Data Summary'!$K73</f>
        <v>0.02162402277340413</v>
      </c>
      <c r="C114" s="102">
        <f>C$28*'Data Summary'!$K73</f>
        <v>0.010045977571814068</v>
      </c>
      <c r="D114" s="102">
        <f>D$28*'Data Summary'!$K73</f>
        <v>0.0130690385086337</v>
      </c>
      <c r="E114" s="102">
        <f>E$28*'Data Summary'!$K73</f>
        <v>0.004615837732945444</v>
      </c>
      <c r="F114" s="102">
        <f>F$28*'Data Summary'!$K73</f>
        <v>0.0004973518784406267</v>
      </c>
      <c r="G114" s="102">
        <f>G$28*'Data Summary'!$K73</f>
        <v>0.015948453121130125</v>
      </c>
      <c r="H114" s="102">
        <f>H$28*'Data Summary'!$K73</f>
        <v>8.162659469483004E-05</v>
      </c>
      <c r="I114" s="102">
        <f>I$28*'Data Summary'!$K73</f>
        <v>0.00013135249666141344</v>
      </c>
      <c r="J114" s="102">
        <f>J$28*'Data Summary'!$K73</f>
        <v>3.364630663322615E-05</v>
      </c>
      <c r="K114" s="102">
        <f>K$28*'Data Summary'!$K73</f>
        <v>0.0007550805693178864</v>
      </c>
      <c r="L114" s="102">
        <f>L$28*'Data Summary'!$K73</f>
        <v>2.026902679317379E-05</v>
      </c>
      <c r="M114" s="102">
        <f>M$28*'Data Summary'!$K73</f>
        <v>4.54952721751132E-06</v>
      </c>
      <c r="N114" s="103">
        <f>N$28*'Data Summary'!$K73</f>
        <v>0.008683152869861011</v>
      </c>
      <c r="Q114" s="161">
        <v>17</v>
      </c>
      <c r="R114" s="202" t="e">
        <f>'Scalar Factors'!L20</f>
        <v>#DIV/0!</v>
      </c>
      <c r="S114" s="157" t="e">
        <f t="shared" si="19"/>
        <v>#DIV/0!</v>
      </c>
      <c r="T114" s="158" t="e">
        <f t="shared" si="23"/>
        <v>#DIV/0!</v>
      </c>
      <c r="U114" s="160" t="e">
        <f t="shared" si="20"/>
        <v>#DIV/0!</v>
      </c>
      <c r="V114" s="170" t="e">
        <f t="shared" si="21"/>
        <v>#DIV/0!</v>
      </c>
      <c r="W114" s="159" t="e">
        <f t="shared" si="22"/>
        <v>#DIV/0!</v>
      </c>
      <c r="X114" s="117" t="e">
        <f t="shared" si="24"/>
        <v>#DIV/0!</v>
      </c>
    </row>
    <row r="115" spans="1:24" ht="12.75">
      <c r="A115" s="106">
        <v>100414</v>
      </c>
      <c r="B115" s="109">
        <f>B$28*'Data Summary'!$K74</f>
        <v>0.007087874131282465</v>
      </c>
      <c r="C115" s="5">
        <f>C$28*'Data Summary'!$K74</f>
        <v>0.003292848204094611</v>
      </c>
      <c r="D115" s="5">
        <f>D$28*'Data Summary'!$K74</f>
        <v>0.0042837404000521575</v>
      </c>
      <c r="E115" s="5">
        <f>E$28*'Data Summary'!$K74</f>
        <v>0.0015129690346876734</v>
      </c>
      <c r="F115" s="5">
        <f>F$28*'Data Summary'!$K74</f>
        <v>0.0001630208934888721</v>
      </c>
      <c r="G115" s="5">
        <f>G$28*'Data Summary'!$K74</f>
        <v>0.0052275485230370965</v>
      </c>
      <c r="H115" s="5">
        <f>H$28*'Data Summary'!$K74</f>
        <v>2.6755383816638733E-05</v>
      </c>
      <c r="I115" s="5">
        <f>I$28*'Data Summary'!$K74</f>
        <v>4.3054429461241076E-05</v>
      </c>
      <c r="J115" s="5">
        <f>J$28*'Data Summary'!$K74</f>
        <v>1.1028511618668573E-05</v>
      </c>
      <c r="K115" s="5">
        <f>K$28*'Data Summary'!$K74</f>
        <v>0.0002474986310541961</v>
      </c>
      <c r="L115" s="5">
        <f>L$28*'Data Summary'!$K74</f>
        <v>6.643736559984743E-06</v>
      </c>
      <c r="M115" s="5">
        <f>M$28*'Data Summary'!$K74</f>
        <v>1.4912339212953773E-06</v>
      </c>
      <c r="N115" s="6">
        <f>N$28*'Data Summary'!$K74</f>
        <v>0.002846144551787776</v>
      </c>
      <c r="Q115" s="161">
        <v>18</v>
      </c>
      <c r="R115" s="202" t="e">
        <f>'Scalar Factors'!L21</f>
        <v>#DIV/0!</v>
      </c>
      <c r="S115" s="157" t="e">
        <f t="shared" si="19"/>
        <v>#DIV/0!</v>
      </c>
      <c r="T115" s="158" t="e">
        <f t="shared" si="23"/>
        <v>#DIV/0!</v>
      </c>
      <c r="U115" s="160" t="e">
        <f t="shared" si="20"/>
        <v>#DIV/0!</v>
      </c>
      <c r="V115" s="170" t="e">
        <f t="shared" si="21"/>
        <v>#DIV/0!</v>
      </c>
      <c r="W115" s="159" t="e">
        <f t="shared" si="22"/>
        <v>#DIV/0!</v>
      </c>
      <c r="X115" s="117" t="e">
        <f t="shared" si="24"/>
        <v>#DIV/0!</v>
      </c>
    </row>
    <row r="116" spans="1:24" ht="12.75">
      <c r="A116" s="106">
        <v>110543</v>
      </c>
      <c r="B116" s="109">
        <f>B$28*'Data Summary'!$K75</f>
        <v>0.09250276408622878</v>
      </c>
      <c r="C116" s="5">
        <f>C$28*'Data Summary'!$K75</f>
        <v>0.04297445961276018</v>
      </c>
      <c r="D116" s="5">
        <f>D$28*'Data Summary'!$K75</f>
        <v>0.05590644250915527</v>
      </c>
      <c r="E116" s="5">
        <f>E$28*'Data Summary'!$K75</f>
        <v>0.01974552807982218</v>
      </c>
      <c r="F116" s="5">
        <f>F$28*'Data Summary'!$K75</f>
        <v>0.0021275608133293476</v>
      </c>
      <c r="G116" s="5">
        <f>G$28*'Data Summary'!$K75</f>
        <v>0.06822393835150109</v>
      </c>
      <c r="H116" s="5">
        <f>H$28*'Data Summary'!$K75</f>
        <v>0.00034918043286121734</v>
      </c>
      <c r="I116" s="5">
        <f>I$28*'Data Summary'!$K75</f>
        <v>0.0005618967912738242</v>
      </c>
      <c r="J116" s="5">
        <f>J$28*'Data Summary'!$K75</f>
        <v>0.00014393142281991187</v>
      </c>
      <c r="K116" s="5">
        <f>K$28*'Data Summary'!$K75</f>
        <v>0.003230066879859848</v>
      </c>
      <c r="L116" s="5">
        <f>L$28*'Data Summary'!$K75</f>
        <v>8.670639239302123E-05</v>
      </c>
      <c r="M116" s="5">
        <f>M$28*'Data Summary'!$K75</f>
        <v>1.9461866430465093E-05</v>
      </c>
      <c r="N116" s="6">
        <f>N$28*'Data Summary'!$K75</f>
        <v>0.03714459838773877</v>
      </c>
      <c r="Q116" s="161">
        <v>19</v>
      </c>
      <c r="R116" s="202" t="e">
        <f>'Scalar Factors'!L22</f>
        <v>#DIV/0!</v>
      </c>
      <c r="S116" s="157" t="e">
        <f t="shared" si="19"/>
        <v>#DIV/0!</v>
      </c>
      <c r="T116" s="158" t="e">
        <f t="shared" si="23"/>
        <v>#DIV/0!</v>
      </c>
      <c r="U116" s="160" t="e">
        <f t="shared" si="20"/>
        <v>#DIV/0!</v>
      </c>
      <c r="V116" s="170" t="e">
        <f t="shared" si="21"/>
        <v>#DIV/0!</v>
      </c>
      <c r="W116" s="159" t="e">
        <f t="shared" si="22"/>
        <v>#DIV/0!</v>
      </c>
      <c r="X116" s="117" t="e">
        <f t="shared" si="24"/>
        <v>#DIV/0!</v>
      </c>
    </row>
    <row r="117" spans="1:24" ht="12.75">
      <c r="A117" s="106">
        <v>108883</v>
      </c>
      <c r="B117" s="109">
        <f>B$28*'Data Summary'!$K76</f>
        <v>0.10211344087440839</v>
      </c>
      <c r="C117" s="5">
        <f>C$28*'Data Summary'!$K76</f>
        <v>0.04743933853356644</v>
      </c>
      <c r="D117" s="5">
        <f>D$28*'Data Summary'!$K76</f>
        <v>0.06171490406854803</v>
      </c>
      <c r="E117" s="5">
        <f>E$28*'Data Summary'!$K76</f>
        <v>0.02179701151668682</v>
      </c>
      <c r="F117" s="5">
        <f>F$28*'Data Summary'!$K76</f>
        <v>0.0023486060926362928</v>
      </c>
      <c r="G117" s="5">
        <f>G$28*'Data Summary'!$K76</f>
        <v>0.07531213973867003</v>
      </c>
      <c r="H117" s="5">
        <f>H$28*'Data Summary'!$K76</f>
        <v>0.00038545891939225296</v>
      </c>
      <c r="I117" s="5">
        <f>I$28*'Data Summary'!$K76</f>
        <v>0.0006202756786788969</v>
      </c>
      <c r="J117" s="5">
        <f>J$28*'Data Summary'!$K76</f>
        <v>0.0001588853368791235</v>
      </c>
      <c r="K117" s="5">
        <f>K$28*'Data Summary'!$K76</f>
        <v>0.0035656582440011307</v>
      </c>
      <c r="L117" s="5">
        <f>L$28*'Data Summary'!$K76</f>
        <v>9.571484874554291E-05</v>
      </c>
      <c r="M117" s="5">
        <f>M$28*'Data Summary'!$K76</f>
        <v>2.148387852713679E-05</v>
      </c>
      <c r="N117" s="6">
        <f>N$28*'Data Summary'!$K76</f>
        <v>0.04100377744101034</v>
      </c>
      <c r="Q117" s="161">
        <v>20</v>
      </c>
      <c r="R117" s="202" t="e">
        <f>'Scalar Factors'!L23</f>
        <v>#DIV/0!</v>
      </c>
      <c r="S117" s="157" t="e">
        <f t="shared" si="19"/>
        <v>#DIV/0!</v>
      </c>
      <c r="T117" s="158" t="e">
        <f t="shared" si="23"/>
        <v>#DIV/0!</v>
      </c>
      <c r="U117" s="160" t="e">
        <f t="shared" si="20"/>
        <v>#DIV/0!</v>
      </c>
      <c r="V117" s="170" t="e">
        <f t="shared" si="21"/>
        <v>#DIV/0!</v>
      </c>
      <c r="W117" s="159" t="e">
        <f t="shared" si="22"/>
        <v>#DIV/0!</v>
      </c>
      <c r="X117" s="117" t="e">
        <f t="shared" si="24"/>
        <v>#DIV/0!</v>
      </c>
    </row>
    <row r="118" spans="1:24" ht="15" customHeight="1" thickBot="1">
      <c r="A118" s="107">
        <v>1330207</v>
      </c>
      <c r="B118" s="110">
        <f>B$28*'Data Summary'!$K77</f>
        <v>0.03471856989729886</v>
      </c>
      <c r="C118" s="97">
        <f>C$28*'Data Summary'!$K77</f>
        <v>0.016129375101412588</v>
      </c>
      <c r="D118" s="97">
        <f>D$28*'Data Summary'!$K77</f>
        <v>0.02098306738330633</v>
      </c>
      <c r="E118" s="97">
        <f>E$28*'Data Summary'!$K77</f>
        <v>0.007410983915673519</v>
      </c>
      <c r="F118" s="97">
        <f>F$28*'Data Summary'!$K77</f>
        <v>0.0007985260714963396</v>
      </c>
      <c r="G118" s="97">
        <f>G$28*'Data Summary'!$K77</f>
        <v>0.02560612751114781</v>
      </c>
      <c r="H118" s="97">
        <f>H$28*'Data Summary'!$K77</f>
        <v>0.000131056032593366</v>
      </c>
      <c r="I118" s="97">
        <f>I$28*'Data Summary'!$K77</f>
        <v>0.00021089373075082495</v>
      </c>
      <c r="J118" s="97">
        <f>J$28*'Data Summary'!$K77</f>
        <v>5.4021014538901994E-05</v>
      </c>
      <c r="K118" s="97">
        <f>K$28*'Data Summary'!$K77</f>
        <v>0.0012123238029603846</v>
      </c>
      <c r="L118" s="97">
        <f>L$28*'Data Summary'!$K77</f>
        <v>3.2543048573484587E-05</v>
      </c>
      <c r="M118" s="97">
        <f>M$28*'Data Summary'!$K77</f>
        <v>7.304518699226509E-06</v>
      </c>
      <c r="N118" s="7">
        <f>N$28*'Data Summary'!$K77</f>
        <v>0.013941284329943513</v>
      </c>
      <c r="Q118" s="161">
        <v>21</v>
      </c>
      <c r="R118" s="202" t="e">
        <f>'Scalar Factors'!L24</f>
        <v>#DIV/0!</v>
      </c>
      <c r="S118" s="157" t="e">
        <f t="shared" si="19"/>
        <v>#DIV/0!</v>
      </c>
      <c r="T118" s="158" t="e">
        <f t="shared" si="23"/>
        <v>#DIV/0!</v>
      </c>
      <c r="U118" s="160" t="e">
        <f t="shared" si="20"/>
        <v>#DIV/0!</v>
      </c>
      <c r="V118" s="170" t="e">
        <f t="shared" si="21"/>
        <v>#DIV/0!</v>
      </c>
      <c r="W118" s="159" t="e">
        <f t="shared" si="22"/>
        <v>#DIV/0!</v>
      </c>
      <c r="X118" s="117" t="e">
        <f t="shared" si="24"/>
        <v>#DIV/0!</v>
      </c>
    </row>
    <row r="119" spans="17:24" ht="15" customHeight="1">
      <c r="Q119" s="161">
        <v>22</v>
      </c>
      <c r="R119" s="202" t="e">
        <f>'Scalar Factors'!L25</f>
        <v>#DIV/0!</v>
      </c>
      <c r="S119" s="157" t="e">
        <f t="shared" si="19"/>
        <v>#DIV/0!</v>
      </c>
      <c r="T119" s="158" t="e">
        <f t="shared" si="23"/>
        <v>#DIV/0!</v>
      </c>
      <c r="U119" s="160" t="e">
        <f t="shared" si="20"/>
        <v>#DIV/0!</v>
      </c>
      <c r="V119" s="170" t="e">
        <f t="shared" si="21"/>
        <v>#DIV/0!</v>
      </c>
      <c r="W119" s="159" t="e">
        <f t="shared" si="22"/>
        <v>#DIV/0!</v>
      </c>
      <c r="X119" s="117" t="e">
        <f t="shared" si="24"/>
        <v>#DIV/0!</v>
      </c>
    </row>
    <row r="120" spans="17:24" ht="12.75">
      <c r="Q120" s="161">
        <v>23</v>
      </c>
      <c r="R120" s="202" t="e">
        <f>'Scalar Factors'!L26</f>
        <v>#DIV/0!</v>
      </c>
      <c r="S120" s="157" t="e">
        <f t="shared" si="19"/>
        <v>#DIV/0!</v>
      </c>
      <c r="T120" s="158" t="e">
        <f t="shared" si="23"/>
        <v>#DIV/0!</v>
      </c>
      <c r="U120" s="160" t="e">
        <f t="shared" si="20"/>
        <v>#DIV/0!</v>
      </c>
      <c r="V120" s="170" t="e">
        <f t="shared" si="21"/>
        <v>#DIV/0!</v>
      </c>
      <c r="W120" s="159" t="e">
        <f t="shared" si="22"/>
        <v>#DIV/0!</v>
      </c>
      <c r="X120" s="117" t="e">
        <f t="shared" si="24"/>
        <v>#DIV/0!</v>
      </c>
    </row>
    <row r="121" spans="17:24" ht="13.5" thickBot="1">
      <c r="Q121" s="162" t="s">
        <v>25</v>
      </c>
      <c r="R121" s="163" t="e">
        <f aca="true" t="shared" si="25" ref="R121:W121">SUM(R97:R120)</f>
        <v>#DIV/0!</v>
      </c>
      <c r="S121" s="164" t="e">
        <f t="shared" si="25"/>
        <v>#DIV/0!</v>
      </c>
      <c r="T121" s="165" t="e">
        <f t="shared" si="25"/>
        <v>#DIV/0!</v>
      </c>
      <c r="U121" s="165" t="e">
        <f t="shared" si="25"/>
        <v>#DIV/0!</v>
      </c>
      <c r="V121" s="82" t="e">
        <f t="shared" si="25"/>
        <v>#DIV/0!</v>
      </c>
      <c r="W121" s="166" t="e">
        <f t="shared" si="25"/>
        <v>#DIV/0!</v>
      </c>
      <c r="X121" s="169"/>
    </row>
    <row r="122" spans="21:22" ht="12.75">
      <c r="U122" s="1" t="s">
        <v>94</v>
      </c>
      <c r="V122" s="61" t="e">
        <f>MAX(V97:V120)</f>
        <v>#DIV/0!</v>
      </c>
    </row>
    <row r="137" spans="3:5" ht="12.75">
      <c r="C137" s="113" t="s">
        <v>26</v>
      </c>
      <c r="E137" s="86" t="str">
        <f>C1</f>
        <v>XXX</v>
      </c>
    </row>
    <row r="138" ht="13.5" thickBot="1">
      <c r="E138" s="86" t="str">
        <f>J4&amp;"-"&amp;J5&amp;" -"&amp;J6</f>
        <v>1-1 -1</v>
      </c>
    </row>
    <row r="139" spans="3:10" ht="12.75">
      <c r="C139" s="275" t="s">
        <v>151</v>
      </c>
      <c r="D139" s="276"/>
      <c r="E139" s="276"/>
      <c r="F139" s="276"/>
      <c r="G139" s="276"/>
      <c r="H139" s="276"/>
      <c r="I139" s="276"/>
      <c r="J139" s="277"/>
    </row>
    <row r="140" spans="3:10" ht="12.75">
      <c r="C140" s="58" t="s">
        <v>39</v>
      </c>
      <c r="D140" s="183" t="s">
        <v>44</v>
      </c>
      <c r="E140" s="183" t="s">
        <v>45</v>
      </c>
      <c r="F140" s="183" t="s">
        <v>41</v>
      </c>
      <c r="G140" s="183" t="s">
        <v>43</v>
      </c>
      <c r="H140" s="183"/>
      <c r="I140" s="181" t="s">
        <v>47</v>
      </c>
      <c r="J140" s="182"/>
    </row>
    <row r="141" spans="3:10" ht="12.75">
      <c r="C141" s="96" t="s">
        <v>40</v>
      </c>
      <c r="D141" s="183" t="s">
        <v>42</v>
      </c>
      <c r="E141" s="94" t="s">
        <v>46</v>
      </c>
      <c r="F141" s="94" t="s">
        <v>42</v>
      </c>
      <c r="G141" s="94" t="s">
        <v>42</v>
      </c>
      <c r="H141" s="99" t="s">
        <v>37</v>
      </c>
      <c r="I141" s="94" t="s">
        <v>6</v>
      </c>
      <c r="J141" s="100" t="s">
        <v>38</v>
      </c>
    </row>
    <row r="142" spans="3:10" ht="12.75">
      <c r="C142" s="197">
        <f>J2</f>
        <v>10</v>
      </c>
      <c r="D142" s="199">
        <f>J4</f>
        <v>1</v>
      </c>
      <c r="E142" s="88">
        <f>$C$8</f>
        <v>2014</v>
      </c>
      <c r="F142" s="89">
        <f>J5</f>
        <v>1</v>
      </c>
      <c r="G142" s="88">
        <f>J6</f>
        <v>1</v>
      </c>
      <c r="H142" s="99">
        <v>9901</v>
      </c>
      <c r="I142" s="95">
        <f>SUM(B34:N34)*365</f>
        <v>546.7968468824104</v>
      </c>
      <c r="J142" s="93">
        <f>I142/8760</f>
        <v>0.062419731379270586</v>
      </c>
    </row>
    <row r="143" spans="3:10" ht="12.75">
      <c r="C143" s="197">
        <f>J2</f>
        <v>10</v>
      </c>
      <c r="D143" s="199">
        <f>J4</f>
        <v>1</v>
      </c>
      <c r="E143" s="88">
        <f aca="true" t="shared" si="26" ref="E143:E155">$C$8</f>
        <v>2014</v>
      </c>
      <c r="F143" s="89">
        <f>J5</f>
        <v>1</v>
      </c>
      <c r="G143" s="88">
        <f>J6</f>
        <v>1</v>
      </c>
      <c r="H143" s="183">
        <v>75070</v>
      </c>
      <c r="I143" s="5">
        <f>SUM(B99:N99)*365</f>
        <v>40.544067179875555</v>
      </c>
      <c r="J143" s="93">
        <f>I143/8760</f>
        <v>0.0046283181712186705</v>
      </c>
    </row>
    <row r="144" spans="3:10" ht="12.75">
      <c r="C144" s="197">
        <f>J2</f>
        <v>10</v>
      </c>
      <c r="D144" s="199">
        <f>J4</f>
        <v>1</v>
      </c>
      <c r="E144" s="88">
        <f t="shared" si="26"/>
        <v>2014</v>
      </c>
      <c r="F144" s="89">
        <f aca="true" t="shared" si="27" ref="F144:F156">J$5</f>
        <v>1</v>
      </c>
      <c r="G144" s="88">
        <f>J6</f>
        <v>1</v>
      </c>
      <c r="H144" s="183">
        <v>107028</v>
      </c>
      <c r="I144" s="5">
        <f>SUM(B100:N100)*365</f>
        <v>18.82403119065651</v>
      </c>
      <c r="J144" s="93">
        <f aca="true" t="shared" si="28" ref="J144:J156">I144/8760</f>
        <v>0.0021488620080658116</v>
      </c>
    </row>
    <row r="145" spans="3:10" ht="12.75">
      <c r="C145" s="197">
        <f>J2</f>
        <v>10</v>
      </c>
      <c r="D145" s="199">
        <f>J4</f>
        <v>1</v>
      </c>
      <c r="E145" s="88">
        <f t="shared" si="26"/>
        <v>2014</v>
      </c>
      <c r="F145" s="89">
        <f t="shared" si="27"/>
        <v>1</v>
      </c>
      <c r="G145" s="88">
        <f>J6</f>
        <v>1</v>
      </c>
      <c r="H145" s="183">
        <v>71432</v>
      </c>
      <c r="I145" s="5">
        <f>SUM(B101:N101,B114:N114)*365</f>
        <v>385.2178736492783</v>
      </c>
      <c r="J145" s="93">
        <f t="shared" si="28"/>
        <v>0.04397464311064821</v>
      </c>
    </row>
    <row r="146" spans="3:10" ht="12.75">
      <c r="C146" s="197">
        <f>J2</f>
        <v>10</v>
      </c>
      <c r="D146" s="199">
        <f>J4</f>
        <v>1</v>
      </c>
      <c r="E146" s="88">
        <f t="shared" si="26"/>
        <v>2014</v>
      </c>
      <c r="F146" s="89">
        <f t="shared" si="27"/>
        <v>1</v>
      </c>
      <c r="G146" s="88">
        <f>J6</f>
        <v>1</v>
      </c>
      <c r="H146" s="183">
        <v>106990</v>
      </c>
      <c r="I146" s="5">
        <f>SUM(B102:N102)*365</f>
        <v>79.64013196046984</v>
      </c>
      <c r="J146" s="93">
        <f t="shared" si="28"/>
        <v>0.009091339264893817</v>
      </c>
    </row>
    <row r="147" spans="3:10" ht="12.75">
      <c r="C147" s="197">
        <f>J2</f>
        <v>10</v>
      </c>
      <c r="D147" s="199">
        <f>J4</f>
        <v>1</v>
      </c>
      <c r="E147" s="88">
        <f t="shared" si="26"/>
        <v>2014</v>
      </c>
      <c r="F147" s="89">
        <f t="shared" si="27"/>
        <v>1</v>
      </c>
      <c r="G147" s="88">
        <f>J6</f>
        <v>1</v>
      </c>
      <c r="H147" s="183">
        <v>100414</v>
      </c>
      <c r="I147" s="5">
        <f>SUM(B103:N103,B115:N115)*365</f>
        <v>161.0742273722082</v>
      </c>
      <c r="J147" s="93">
        <f t="shared" si="28"/>
        <v>0.01838746887810596</v>
      </c>
    </row>
    <row r="148" spans="3:10" ht="12.75">
      <c r="C148" s="197">
        <f>J2</f>
        <v>10</v>
      </c>
      <c r="D148" s="199">
        <f>J4</f>
        <v>1</v>
      </c>
      <c r="E148" s="88">
        <f t="shared" si="26"/>
        <v>2014</v>
      </c>
      <c r="F148" s="89">
        <f t="shared" si="27"/>
        <v>1</v>
      </c>
      <c r="G148" s="88">
        <f>J6</f>
        <v>1</v>
      </c>
      <c r="H148" s="183">
        <v>50000</v>
      </c>
      <c r="I148" s="5">
        <f>SUM(B104:N104)*365</f>
        <v>228.78437908644068</v>
      </c>
      <c r="J148" s="93">
        <f t="shared" si="28"/>
        <v>0.02611693825187679</v>
      </c>
    </row>
    <row r="149" spans="3:10" ht="12.75">
      <c r="C149" s="197">
        <f>J2</f>
        <v>10</v>
      </c>
      <c r="D149" s="199">
        <f>J4</f>
        <v>1</v>
      </c>
      <c r="E149" s="88">
        <f t="shared" si="26"/>
        <v>2014</v>
      </c>
      <c r="F149" s="89">
        <f t="shared" si="27"/>
        <v>1</v>
      </c>
      <c r="G149" s="88">
        <f>J6</f>
        <v>1</v>
      </c>
      <c r="H149" s="183">
        <v>110543</v>
      </c>
      <c r="I149" s="5">
        <f>SUM(B105:N105,B116:N116)*365</f>
        <v>349.5814193885567</v>
      </c>
      <c r="J149" s="93">
        <f t="shared" si="28"/>
        <v>0.039906554724721086</v>
      </c>
    </row>
    <row r="150" spans="3:10" ht="12.75">
      <c r="C150" s="197">
        <f>J2</f>
        <v>10</v>
      </c>
      <c r="D150" s="199">
        <f>J4</f>
        <v>1</v>
      </c>
      <c r="E150" s="88">
        <f t="shared" si="26"/>
        <v>2014</v>
      </c>
      <c r="F150" s="89">
        <f t="shared" si="27"/>
        <v>1</v>
      </c>
      <c r="G150" s="88">
        <f>J6</f>
        <v>1</v>
      </c>
      <c r="H150" s="183">
        <v>67561</v>
      </c>
      <c r="I150" s="5">
        <f>SUM(B106:N106)*365</f>
        <v>17.376028791375237</v>
      </c>
      <c r="J150" s="93">
        <f t="shared" si="28"/>
        <v>0.0019835649305222874</v>
      </c>
    </row>
    <row r="151" spans="3:10" ht="12.75">
      <c r="C151" s="197">
        <f>J2</f>
        <v>10</v>
      </c>
      <c r="D151" s="199">
        <f>J4</f>
        <v>1</v>
      </c>
      <c r="E151" s="88">
        <f t="shared" si="26"/>
        <v>2014</v>
      </c>
      <c r="F151" s="89">
        <f t="shared" si="27"/>
        <v>1</v>
      </c>
      <c r="G151" s="88">
        <f>J6</f>
        <v>1</v>
      </c>
      <c r="H151" s="183">
        <v>78933</v>
      </c>
      <c r="I151" s="5">
        <f>SUM(B107:N107)*365</f>
        <v>2.89600479856254</v>
      </c>
      <c r="J151" s="93">
        <f t="shared" si="28"/>
        <v>0.00033059415508704794</v>
      </c>
    </row>
    <row r="152" spans="3:10" ht="12.75">
      <c r="C152" s="197">
        <f>J2</f>
        <v>10</v>
      </c>
      <c r="D152" s="199">
        <f>J4</f>
        <v>1</v>
      </c>
      <c r="E152" s="88">
        <f t="shared" si="26"/>
        <v>2014</v>
      </c>
      <c r="F152" s="89">
        <f t="shared" si="27"/>
        <v>1</v>
      </c>
      <c r="G152" s="88">
        <f>J6</f>
        <v>1</v>
      </c>
      <c r="H152" s="183">
        <v>91203</v>
      </c>
      <c r="I152" s="5">
        <f>SUM(B108:N108)*365</f>
        <v>7.24001199640635</v>
      </c>
      <c r="J152" s="93">
        <f t="shared" si="28"/>
        <v>0.0008264853877176199</v>
      </c>
    </row>
    <row r="153" spans="3:10" ht="12.75">
      <c r="C153" s="197">
        <f>J2</f>
        <v>10</v>
      </c>
      <c r="D153" s="199">
        <f>J4</f>
        <v>1</v>
      </c>
      <c r="E153" s="88">
        <f t="shared" si="26"/>
        <v>2014</v>
      </c>
      <c r="F153" s="89">
        <f t="shared" si="27"/>
        <v>1</v>
      </c>
      <c r="G153" s="88">
        <f>J6</f>
        <v>1</v>
      </c>
      <c r="H153" s="183">
        <v>115071</v>
      </c>
      <c r="I153" s="5">
        <f>SUM(B109:N109)*365</f>
        <v>443.0887341800685</v>
      </c>
      <c r="J153" s="93">
        <f t="shared" si="28"/>
        <v>0.050580905728318325</v>
      </c>
    </row>
    <row r="154" spans="3:10" ht="12.75">
      <c r="C154" s="197">
        <f>J2</f>
        <v>10</v>
      </c>
      <c r="D154" s="199">
        <f>J4</f>
        <v>1</v>
      </c>
      <c r="E154" s="88">
        <f t="shared" si="26"/>
        <v>2014</v>
      </c>
      <c r="F154" s="89">
        <f t="shared" si="27"/>
        <v>1</v>
      </c>
      <c r="G154" s="88">
        <f>J6</f>
        <v>1</v>
      </c>
      <c r="H154" s="183">
        <v>100425</v>
      </c>
      <c r="I154" s="5">
        <f>SUM(B110:N110)*365</f>
        <v>17.376028791375237</v>
      </c>
      <c r="J154" s="93">
        <f t="shared" si="28"/>
        <v>0.0019835649305222874</v>
      </c>
    </row>
    <row r="155" spans="3:10" ht="12.75">
      <c r="C155" s="197">
        <f>J2</f>
        <v>10</v>
      </c>
      <c r="D155" s="199">
        <f>J4</f>
        <v>1</v>
      </c>
      <c r="E155" s="88">
        <f t="shared" si="26"/>
        <v>2014</v>
      </c>
      <c r="F155" s="89">
        <f t="shared" si="27"/>
        <v>1</v>
      </c>
      <c r="G155" s="88">
        <f>J6</f>
        <v>1</v>
      </c>
      <c r="H155" s="183">
        <v>108883</v>
      </c>
      <c r="I155" s="5">
        <f>SUM(B111:N111,B117:N117)*365</f>
        <v>964.1998757237003</v>
      </c>
      <c r="J155" s="93">
        <f t="shared" si="28"/>
        <v>0.11006847896389273</v>
      </c>
    </row>
    <row r="156" spans="3:10" ht="13.5" thickBot="1">
      <c r="C156" s="198">
        <f>J2</f>
        <v>10</v>
      </c>
      <c r="D156" s="200">
        <f>J4</f>
        <v>1</v>
      </c>
      <c r="E156" s="90">
        <f>$C$8</f>
        <v>2014</v>
      </c>
      <c r="F156" s="91">
        <f t="shared" si="27"/>
        <v>1</v>
      </c>
      <c r="G156" s="90">
        <f>J6</f>
        <v>1</v>
      </c>
      <c r="H156" s="60">
        <v>1330207</v>
      </c>
      <c r="I156" s="97">
        <f>SUM(B112:N112,B118:N118)*365</f>
        <v>739.2923195258238</v>
      </c>
      <c r="J156" s="98">
        <f t="shared" si="28"/>
        <v>0.0843941004024913</v>
      </c>
    </row>
  </sheetData>
  <sheetProtection/>
  <mergeCells count="30">
    <mergeCell ref="A97:N97"/>
    <mergeCell ref="A38:N38"/>
    <mergeCell ref="A31:N31"/>
    <mergeCell ref="A62:N62"/>
    <mergeCell ref="Q54:V54"/>
    <mergeCell ref="A7:B7"/>
    <mergeCell ref="A8:B8"/>
    <mergeCell ref="A69:N69"/>
    <mergeCell ref="A76:N76"/>
    <mergeCell ref="A83:N83"/>
    <mergeCell ref="H4:I4"/>
    <mergeCell ref="Q5:V5"/>
    <mergeCell ref="Q95:X95"/>
    <mergeCell ref="A113:N113"/>
    <mergeCell ref="H5:I5"/>
    <mergeCell ref="A11:N11"/>
    <mergeCell ref="A17:N17"/>
    <mergeCell ref="A24:N24"/>
    <mergeCell ref="A48:N48"/>
    <mergeCell ref="A55:N55"/>
    <mergeCell ref="C139:J139"/>
    <mergeCell ref="A1:B1"/>
    <mergeCell ref="A2:B2"/>
    <mergeCell ref="A3:B3"/>
    <mergeCell ref="A4:B4"/>
    <mergeCell ref="A5:B5"/>
    <mergeCell ref="A6:B6"/>
    <mergeCell ref="A96:N96"/>
    <mergeCell ref="H2:I2"/>
    <mergeCell ref="H3:I3"/>
  </mergeCells>
  <printOptions/>
  <pageMargins left="0.25" right="0.25" top="0.2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7.28125" style="0" bestFit="1" customWidth="1"/>
    <col min="2" max="2" width="21.8515625" style="0" customWidth="1"/>
    <col min="3" max="3" width="9.57421875" style="175" bestFit="1" customWidth="1"/>
    <col min="4" max="4" width="6.421875" style="175" customWidth="1"/>
    <col min="5" max="5" width="14.28125" style="204" bestFit="1" customWidth="1"/>
    <col min="6" max="6" width="13.57421875" style="176" customWidth="1"/>
    <col min="7" max="7" width="14.28125" style="203" bestFit="1" customWidth="1"/>
    <col min="8" max="8" width="0.71875" style="175" customWidth="1"/>
    <col min="9" max="9" width="10.8515625" style="175" customWidth="1"/>
    <col min="10" max="10" width="13.7109375" style="175" customWidth="1"/>
    <col min="11" max="11" width="0.71875" style="0" customWidth="1"/>
  </cols>
  <sheetData>
    <row r="1" spans="1:13" ht="15">
      <c r="A1" s="306"/>
      <c r="B1" s="307"/>
      <c r="C1" s="307"/>
      <c r="D1" s="307"/>
      <c r="E1" s="307"/>
      <c r="F1" s="307"/>
      <c r="G1" s="307"/>
      <c r="H1" s="299"/>
      <c r="I1" s="302" t="s">
        <v>118</v>
      </c>
      <c r="J1" s="302" t="s">
        <v>119</v>
      </c>
      <c r="K1" s="299"/>
      <c r="L1" s="302" t="s">
        <v>131</v>
      </c>
      <c r="M1" s="304" t="s">
        <v>114</v>
      </c>
    </row>
    <row r="2" spans="1:13" ht="15">
      <c r="A2" s="233" t="s">
        <v>2</v>
      </c>
      <c r="B2" s="234" t="s">
        <v>0</v>
      </c>
      <c r="C2" s="234" t="s">
        <v>112</v>
      </c>
      <c r="D2" s="234" t="s">
        <v>113</v>
      </c>
      <c r="E2" s="235" t="s">
        <v>116</v>
      </c>
      <c r="F2" s="235" t="s">
        <v>117</v>
      </c>
      <c r="G2" s="234" t="s">
        <v>23</v>
      </c>
      <c r="H2" s="300"/>
      <c r="I2" s="303"/>
      <c r="J2" s="303"/>
      <c r="K2" s="300"/>
      <c r="L2" s="303"/>
      <c r="M2" s="305"/>
    </row>
    <row r="3" spans="1:13" ht="15">
      <c r="A3" s="227"/>
      <c r="B3" s="228"/>
      <c r="C3" s="229"/>
      <c r="D3" s="205">
        <v>0</v>
      </c>
      <c r="E3" s="221"/>
      <c r="F3" s="222"/>
      <c r="G3" s="214">
        <f>SUM(E3:F3)</f>
        <v>0</v>
      </c>
      <c r="H3" s="300"/>
      <c r="I3" s="225"/>
      <c r="J3" s="216">
        <f>F3+I3</f>
        <v>0</v>
      </c>
      <c r="K3" s="300"/>
      <c r="L3" s="218" t="e">
        <f>E3/$E$28</f>
        <v>#DIV/0!</v>
      </c>
      <c r="M3" s="219" t="e">
        <f>J3/$J$28</f>
        <v>#DIV/0!</v>
      </c>
    </row>
    <row r="4" spans="1:13" ht="15">
      <c r="A4" s="227"/>
      <c r="B4" s="228"/>
      <c r="C4" s="229"/>
      <c r="D4" s="205">
        <v>1</v>
      </c>
      <c r="E4" s="221"/>
      <c r="F4" s="222"/>
      <c r="G4" s="214">
        <f aca="true" t="shared" si="0" ref="G4:G26">SUM(E4:F4)</f>
        <v>0</v>
      </c>
      <c r="H4" s="300"/>
      <c r="I4" s="225"/>
      <c r="J4" s="216">
        <f aca="true" t="shared" si="1" ref="J4:J26">F4+I4</f>
        <v>0</v>
      </c>
      <c r="K4" s="300"/>
      <c r="L4" s="218" t="e">
        <f aca="true" t="shared" si="2" ref="L4:L26">E4/$E$28</f>
        <v>#DIV/0!</v>
      </c>
      <c r="M4" s="219" t="e">
        <f aca="true" t="shared" si="3" ref="M4:M26">J4/$J$28</f>
        <v>#DIV/0!</v>
      </c>
    </row>
    <row r="5" spans="1:13" ht="15">
      <c r="A5" s="227"/>
      <c r="B5" s="228"/>
      <c r="C5" s="229"/>
      <c r="D5" s="205">
        <v>2</v>
      </c>
      <c r="E5" s="221"/>
      <c r="F5" s="222"/>
      <c r="G5" s="214">
        <f t="shared" si="0"/>
        <v>0</v>
      </c>
      <c r="H5" s="300"/>
      <c r="I5" s="225"/>
      <c r="J5" s="216">
        <f t="shared" si="1"/>
        <v>0</v>
      </c>
      <c r="K5" s="300"/>
      <c r="L5" s="218" t="e">
        <f t="shared" si="2"/>
        <v>#DIV/0!</v>
      </c>
      <c r="M5" s="219" t="e">
        <f t="shared" si="3"/>
        <v>#DIV/0!</v>
      </c>
    </row>
    <row r="6" spans="1:13" ht="15">
      <c r="A6" s="227"/>
      <c r="B6" s="228"/>
      <c r="C6" s="229"/>
      <c r="D6" s="205">
        <v>3</v>
      </c>
      <c r="E6" s="221"/>
      <c r="F6" s="222"/>
      <c r="G6" s="214">
        <f t="shared" si="0"/>
        <v>0</v>
      </c>
      <c r="H6" s="300"/>
      <c r="I6" s="225"/>
      <c r="J6" s="216">
        <f t="shared" si="1"/>
        <v>0</v>
      </c>
      <c r="K6" s="300"/>
      <c r="L6" s="218" t="e">
        <f t="shared" si="2"/>
        <v>#DIV/0!</v>
      </c>
      <c r="M6" s="219" t="e">
        <f t="shared" si="3"/>
        <v>#DIV/0!</v>
      </c>
    </row>
    <row r="7" spans="1:13" ht="15">
      <c r="A7" s="227"/>
      <c r="B7" s="228"/>
      <c r="C7" s="229"/>
      <c r="D7" s="205">
        <v>4</v>
      </c>
      <c r="E7" s="221"/>
      <c r="F7" s="222"/>
      <c r="G7" s="214">
        <f t="shared" si="0"/>
        <v>0</v>
      </c>
      <c r="H7" s="300"/>
      <c r="I7" s="225"/>
      <c r="J7" s="216">
        <f t="shared" si="1"/>
        <v>0</v>
      </c>
      <c r="K7" s="300"/>
      <c r="L7" s="218" t="e">
        <f t="shared" si="2"/>
        <v>#DIV/0!</v>
      </c>
      <c r="M7" s="219" t="e">
        <f t="shared" si="3"/>
        <v>#DIV/0!</v>
      </c>
    </row>
    <row r="8" spans="1:13" ht="15">
      <c r="A8" s="227"/>
      <c r="B8" s="228"/>
      <c r="C8" s="229"/>
      <c r="D8" s="205">
        <v>5</v>
      </c>
      <c r="E8" s="221"/>
      <c r="F8" s="222"/>
      <c r="G8" s="214">
        <f t="shared" si="0"/>
        <v>0</v>
      </c>
      <c r="H8" s="300"/>
      <c r="I8" s="225"/>
      <c r="J8" s="216">
        <f t="shared" si="1"/>
        <v>0</v>
      </c>
      <c r="K8" s="300"/>
      <c r="L8" s="218" t="e">
        <f t="shared" si="2"/>
        <v>#DIV/0!</v>
      </c>
      <c r="M8" s="219" t="e">
        <f t="shared" si="3"/>
        <v>#DIV/0!</v>
      </c>
    </row>
    <row r="9" spans="1:13" ht="15">
      <c r="A9" s="227"/>
      <c r="B9" s="228"/>
      <c r="C9" s="229"/>
      <c r="D9" s="205">
        <v>6</v>
      </c>
      <c r="E9" s="221"/>
      <c r="F9" s="222"/>
      <c r="G9" s="214">
        <f t="shared" si="0"/>
        <v>0</v>
      </c>
      <c r="H9" s="300"/>
      <c r="I9" s="225"/>
      <c r="J9" s="216">
        <f t="shared" si="1"/>
        <v>0</v>
      </c>
      <c r="K9" s="300"/>
      <c r="L9" s="218" t="e">
        <f t="shared" si="2"/>
        <v>#DIV/0!</v>
      </c>
      <c r="M9" s="219" t="e">
        <f t="shared" si="3"/>
        <v>#DIV/0!</v>
      </c>
    </row>
    <row r="10" spans="1:13" ht="15">
      <c r="A10" s="227"/>
      <c r="B10" s="228"/>
      <c r="C10" s="229"/>
      <c r="D10" s="205">
        <v>7</v>
      </c>
      <c r="E10" s="221"/>
      <c r="F10" s="222"/>
      <c r="G10" s="214">
        <f t="shared" si="0"/>
        <v>0</v>
      </c>
      <c r="H10" s="300"/>
      <c r="I10" s="225"/>
      <c r="J10" s="216">
        <f t="shared" si="1"/>
        <v>0</v>
      </c>
      <c r="K10" s="300"/>
      <c r="L10" s="218" t="e">
        <f t="shared" si="2"/>
        <v>#DIV/0!</v>
      </c>
      <c r="M10" s="219" t="e">
        <f t="shared" si="3"/>
        <v>#DIV/0!</v>
      </c>
    </row>
    <row r="11" spans="1:13" ht="15">
      <c r="A11" s="227"/>
      <c r="B11" s="228"/>
      <c r="C11" s="229"/>
      <c r="D11" s="205">
        <v>8</v>
      </c>
      <c r="E11" s="221"/>
      <c r="F11" s="222"/>
      <c r="G11" s="214">
        <f t="shared" si="0"/>
        <v>0</v>
      </c>
      <c r="H11" s="300"/>
      <c r="I11" s="225"/>
      <c r="J11" s="216">
        <f t="shared" si="1"/>
        <v>0</v>
      </c>
      <c r="K11" s="300"/>
      <c r="L11" s="218" t="e">
        <f t="shared" si="2"/>
        <v>#DIV/0!</v>
      </c>
      <c r="M11" s="219" t="e">
        <f t="shared" si="3"/>
        <v>#DIV/0!</v>
      </c>
    </row>
    <row r="12" spans="1:13" ht="15">
      <c r="A12" s="227"/>
      <c r="B12" s="228"/>
      <c r="C12" s="229"/>
      <c r="D12" s="205">
        <v>9</v>
      </c>
      <c r="E12" s="221"/>
      <c r="F12" s="222"/>
      <c r="G12" s="214">
        <f t="shared" si="0"/>
        <v>0</v>
      </c>
      <c r="H12" s="300"/>
      <c r="I12" s="225"/>
      <c r="J12" s="216">
        <f t="shared" si="1"/>
        <v>0</v>
      </c>
      <c r="K12" s="300"/>
      <c r="L12" s="218" t="e">
        <f t="shared" si="2"/>
        <v>#DIV/0!</v>
      </c>
      <c r="M12" s="219" t="e">
        <f t="shared" si="3"/>
        <v>#DIV/0!</v>
      </c>
    </row>
    <row r="13" spans="1:13" ht="15">
      <c r="A13" s="227"/>
      <c r="B13" s="228"/>
      <c r="C13" s="229"/>
      <c r="D13" s="205">
        <v>10</v>
      </c>
      <c r="E13" s="221"/>
      <c r="F13" s="222"/>
      <c r="G13" s="214">
        <f t="shared" si="0"/>
        <v>0</v>
      </c>
      <c r="H13" s="300"/>
      <c r="I13" s="225"/>
      <c r="J13" s="216">
        <f t="shared" si="1"/>
        <v>0</v>
      </c>
      <c r="K13" s="300"/>
      <c r="L13" s="218" t="e">
        <f t="shared" si="2"/>
        <v>#DIV/0!</v>
      </c>
      <c r="M13" s="219" t="e">
        <f t="shared" si="3"/>
        <v>#DIV/0!</v>
      </c>
    </row>
    <row r="14" spans="1:13" ht="15">
      <c r="A14" s="227"/>
      <c r="B14" s="228"/>
      <c r="C14" s="229"/>
      <c r="D14" s="205">
        <v>11</v>
      </c>
      <c r="E14" s="221"/>
      <c r="F14" s="222"/>
      <c r="G14" s="214">
        <f t="shared" si="0"/>
        <v>0</v>
      </c>
      <c r="H14" s="300"/>
      <c r="I14" s="225"/>
      <c r="J14" s="216">
        <f t="shared" si="1"/>
        <v>0</v>
      </c>
      <c r="K14" s="300"/>
      <c r="L14" s="218" t="e">
        <f t="shared" si="2"/>
        <v>#DIV/0!</v>
      </c>
      <c r="M14" s="219" t="e">
        <f t="shared" si="3"/>
        <v>#DIV/0!</v>
      </c>
    </row>
    <row r="15" spans="1:13" ht="15">
      <c r="A15" s="227"/>
      <c r="B15" s="228"/>
      <c r="C15" s="229"/>
      <c r="D15" s="205">
        <v>12</v>
      </c>
      <c r="E15" s="221"/>
      <c r="F15" s="222"/>
      <c r="G15" s="214">
        <f t="shared" si="0"/>
        <v>0</v>
      </c>
      <c r="H15" s="300"/>
      <c r="I15" s="225"/>
      <c r="J15" s="216">
        <f t="shared" si="1"/>
        <v>0</v>
      </c>
      <c r="K15" s="300"/>
      <c r="L15" s="218" t="e">
        <f t="shared" si="2"/>
        <v>#DIV/0!</v>
      </c>
      <c r="M15" s="219" t="e">
        <f t="shared" si="3"/>
        <v>#DIV/0!</v>
      </c>
    </row>
    <row r="16" spans="1:13" ht="15">
      <c r="A16" s="227"/>
      <c r="B16" s="228"/>
      <c r="C16" s="229"/>
      <c r="D16" s="205">
        <v>13</v>
      </c>
      <c r="E16" s="221"/>
      <c r="F16" s="222"/>
      <c r="G16" s="214">
        <f t="shared" si="0"/>
        <v>0</v>
      </c>
      <c r="H16" s="300"/>
      <c r="I16" s="225"/>
      <c r="J16" s="216">
        <f t="shared" si="1"/>
        <v>0</v>
      </c>
      <c r="K16" s="300"/>
      <c r="L16" s="218" t="e">
        <f t="shared" si="2"/>
        <v>#DIV/0!</v>
      </c>
      <c r="M16" s="219" t="e">
        <f t="shared" si="3"/>
        <v>#DIV/0!</v>
      </c>
    </row>
    <row r="17" spans="1:13" ht="15">
      <c r="A17" s="227"/>
      <c r="B17" s="228"/>
      <c r="C17" s="229"/>
      <c r="D17" s="205">
        <v>14</v>
      </c>
      <c r="E17" s="221"/>
      <c r="F17" s="222"/>
      <c r="G17" s="214">
        <f t="shared" si="0"/>
        <v>0</v>
      </c>
      <c r="H17" s="300"/>
      <c r="I17" s="225"/>
      <c r="J17" s="216">
        <f t="shared" si="1"/>
        <v>0</v>
      </c>
      <c r="K17" s="300"/>
      <c r="L17" s="218" t="e">
        <f t="shared" si="2"/>
        <v>#DIV/0!</v>
      </c>
      <c r="M17" s="219" t="e">
        <f t="shared" si="3"/>
        <v>#DIV/0!</v>
      </c>
    </row>
    <row r="18" spans="1:13" ht="15">
      <c r="A18" s="227"/>
      <c r="B18" s="228"/>
      <c r="C18" s="229"/>
      <c r="D18" s="205">
        <v>15</v>
      </c>
      <c r="E18" s="221"/>
      <c r="F18" s="222"/>
      <c r="G18" s="214">
        <f t="shared" si="0"/>
        <v>0</v>
      </c>
      <c r="H18" s="300"/>
      <c r="I18" s="225"/>
      <c r="J18" s="216">
        <f t="shared" si="1"/>
        <v>0</v>
      </c>
      <c r="K18" s="300"/>
      <c r="L18" s="218" t="e">
        <f t="shared" si="2"/>
        <v>#DIV/0!</v>
      </c>
      <c r="M18" s="219" t="e">
        <f t="shared" si="3"/>
        <v>#DIV/0!</v>
      </c>
    </row>
    <row r="19" spans="1:13" ht="15">
      <c r="A19" s="227"/>
      <c r="B19" s="228"/>
      <c r="C19" s="229"/>
      <c r="D19" s="205">
        <v>16</v>
      </c>
      <c r="E19" s="221"/>
      <c r="F19" s="222"/>
      <c r="G19" s="214">
        <f t="shared" si="0"/>
        <v>0</v>
      </c>
      <c r="H19" s="300"/>
      <c r="I19" s="225"/>
      <c r="J19" s="216">
        <f t="shared" si="1"/>
        <v>0</v>
      </c>
      <c r="K19" s="300"/>
      <c r="L19" s="218" t="e">
        <f t="shared" si="2"/>
        <v>#DIV/0!</v>
      </c>
      <c r="M19" s="219" t="e">
        <f t="shared" si="3"/>
        <v>#DIV/0!</v>
      </c>
    </row>
    <row r="20" spans="1:13" ht="15">
      <c r="A20" s="227"/>
      <c r="B20" s="228"/>
      <c r="C20" s="229"/>
      <c r="D20" s="205">
        <v>17</v>
      </c>
      <c r="E20" s="221"/>
      <c r="F20" s="222"/>
      <c r="G20" s="214">
        <f t="shared" si="0"/>
        <v>0</v>
      </c>
      <c r="H20" s="300"/>
      <c r="I20" s="225"/>
      <c r="J20" s="216">
        <f t="shared" si="1"/>
        <v>0</v>
      </c>
      <c r="K20" s="300"/>
      <c r="L20" s="218" t="e">
        <f t="shared" si="2"/>
        <v>#DIV/0!</v>
      </c>
      <c r="M20" s="219" t="e">
        <f t="shared" si="3"/>
        <v>#DIV/0!</v>
      </c>
    </row>
    <row r="21" spans="1:13" ht="15">
      <c r="A21" s="227"/>
      <c r="B21" s="228"/>
      <c r="C21" s="229"/>
      <c r="D21" s="205">
        <v>18</v>
      </c>
      <c r="E21" s="221"/>
      <c r="F21" s="222"/>
      <c r="G21" s="214">
        <f t="shared" si="0"/>
        <v>0</v>
      </c>
      <c r="H21" s="300"/>
      <c r="I21" s="225"/>
      <c r="J21" s="216">
        <f t="shared" si="1"/>
        <v>0</v>
      </c>
      <c r="K21" s="300"/>
      <c r="L21" s="218" t="e">
        <f t="shared" si="2"/>
        <v>#DIV/0!</v>
      </c>
      <c r="M21" s="219" t="e">
        <f t="shared" si="3"/>
        <v>#DIV/0!</v>
      </c>
    </row>
    <row r="22" spans="1:13" ht="15">
      <c r="A22" s="227"/>
      <c r="B22" s="228"/>
      <c r="C22" s="229"/>
      <c r="D22" s="205">
        <v>19</v>
      </c>
      <c r="E22" s="221"/>
      <c r="F22" s="222"/>
      <c r="G22" s="214">
        <f t="shared" si="0"/>
        <v>0</v>
      </c>
      <c r="H22" s="300"/>
      <c r="I22" s="225"/>
      <c r="J22" s="216">
        <f t="shared" si="1"/>
        <v>0</v>
      </c>
      <c r="K22" s="300"/>
      <c r="L22" s="218" t="e">
        <f t="shared" si="2"/>
        <v>#DIV/0!</v>
      </c>
      <c r="M22" s="219" t="e">
        <f t="shared" si="3"/>
        <v>#DIV/0!</v>
      </c>
    </row>
    <row r="23" spans="1:13" ht="15">
      <c r="A23" s="227"/>
      <c r="B23" s="228"/>
      <c r="C23" s="229"/>
      <c r="D23" s="205">
        <v>20</v>
      </c>
      <c r="E23" s="221"/>
      <c r="F23" s="222"/>
      <c r="G23" s="214">
        <f t="shared" si="0"/>
        <v>0</v>
      </c>
      <c r="H23" s="300"/>
      <c r="I23" s="225"/>
      <c r="J23" s="216">
        <f t="shared" si="1"/>
        <v>0</v>
      </c>
      <c r="K23" s="300"/>
      <c r="L23" s="218" t="e">
        <f t="shared" si="2"/>
        <v>#DIV/0!</v>
      </c>
      <c r="M23" s="219" t="e">
        <f t="shared" si="3"/>
        <v>#DIV/0!</v>
      </c>
    </row>
    <row r="24" spans="1:13" ht="15">
      <c r="A24" s="227"/>
      <c r="B24" s="228"/>
      <c r="C24" s="229"/>
      <c r="D24" s="205">
        <v>21</v>
      </c>
      <c r="E24" s="221"/>
      <c r="F24" s="222"/>
      <c r="G24" s="214">
        <f t="shared" si="0"/>
        <v>0</v>
      </c>
      <c r="H24" s="300"/>
      <c r="I24" s="225"/>
      <c r="J24" s="216">
        <f t="shared" si="1"/>
        <v>0</v>
      </c>
      <c r="K24" s="300"/>
      <c r="L24" s="218" t="e">
        <f t="shared" si="2"/>
        <v>#DIV/0!</v>
      </c>
      <c r="M24" s="219" t="e">
        <f t="shared" si="3"/>
        <v>#DIV/0!</v>
      </c>
    </row>
    <row r="25" spans="1:13" ht="15">
      <c r="A25" s="227"/>
      <c r="B25" s="228"/>
      <c r="C25" s="229"/>
      <c r="D25" s="205">
        <v>22</v>
      </c>
      <c r="E25" s="221"/>
      <c r="F25" s="222"/>
      <c r="G25" s="214">
        <f t="shared" si="0"/>
        <v>0</v>
      </c>
      <c r="H25" s="300"/>
      <c r="I25" s="225"/>
      <c r="J25" s="216">
        <f t="shared" si="1"/>
        <v>0</v>
      </c>
      <c r="K25" s="300"/>
      <c r="L25" s="218" t="e">
        <f t="shared" si="2"/>
        <v>#DIV/0!</v>
      </c>
      <c r="M25" s="219" t="e">
        <f t="shared" si="3"/>
        <v>#DIV/0!</v>
      </c>
    </row>
    <row r="26" spans="1:13" ht="15.75" thickBot="1">
      <c r="A26" s="230"/>
      <c r="B26" s="231"/>
      <c r="C26" s="232"/>
      <c r="D26" s="206">
        <v>23</v>
      </c>
      <c r="E26" s="223"/>
      <c r="F26" s="224"/>
      <c r="G26" s="215">
        <f t="shared" si="0"/>
        <v>0</v>
      </c>
      <c r="H26" s="301"/>
      <c r="I26" s="226"/>
      <c r="J26" s="217">
        <f t="shared" si="1"/>
        <v>0</v>
      </c>
      <c r="K26" s="301"/>
      <c r="L26" s="218" t="e">
        <f t="shared" si="2"/>
        <v>#DIV/0!</v>
      </c>
      <c r="M26" s="220" t="e">
        <f t="shared" si="3"/>
        <v>#DIV/0!</v>
      </c>
    </row>
    <row r="27" spans="3:13" ht="15.75" thickBot="1">
      <c r="C27" s="295" t="s">
        <v>25</v>
      </c>
      <c r="D27" s="296"/>
      <c r="E27" s="238">
        <f>SUM(E3:E26)</f>
        <v>0</v>
      </c>
      <c r="F27" s="236">
        <f>SUM(F3:F26)</f>
        <v>0</v>
      </c>
      <c r="G27" s="239">
        <f>SUM(G3:G26)</f>
        <v>0</v>
      </c>
      <c r="H27" s="177"/>
      <c r="I27" s="177"/>
      <c r="J27" s="242">
        <f>SUM(J3:J26)</f>
        <v>0</v>
      </c>
      <c r="L27" s="194" t="e">
        <f>SUM(L3:L26)</f>
        <v>#DIV/0!</v>
      </c>
      <c r="M27" s="195" t="e">
        <f>SUM(M3:M26)</f>
        <v>#DIV/0!</v>
      </c>
    </row>
    <row r="28" spans="3:13" ht="15.75" thickBot="1">
      <c r="C28" s="297" t="s">
        <v>115</v>
      </c>
      <c r="D28" s="298"/>
      <c r="E28" s="240">
        <f>MAX(E3:E26)</f>
        <v>0</v>
      </c>
      <c r="F28" s="237">
        <f>MAX(F3:F26)</f>
        <v>0</v>
      </c>
      <c r="G28" s="241">
        <f>MAX(G3:G26)</f>
        <v>0</v>
      </c>
      <c r="H28" s="178"/>
      <c r="I28" s="178"/>
      <c r="J28" s="243">
        <f>MAX(J3:J26)</f>
        <v>0</v>
      </c>
      <c r="L28" s="179"/>
      <c r="M28" s="179"/>
    </row>
    <row r="29" spans="12:13" ht="15">
      <c r="L29" s="179"/>
      <c r="M29" s="179"/>
    </row>
  </sheetData>
  <sheetProtection/>
  <mergeCells count="9">
    <mergeCell ref="C27:D27"/>
    <mergeCell ref="C28:D28"/>
    <mergeCell ref="K1:K26"/>
    <mergeCell ref="L1:L2"/>
    <mergeCell ref="M1:M2"/>
    <mergeCell ref="J1:J2"/>
    <mergeCell ref="I1:I2"/>
    <mergeCell ref="A1:G1"/>
    <mergeCell ref="H1:H26"/>
  </mergeCells>
  <conditionalFormatting sqref="L3:L26">
    <cfRule type="cellIs" priority="2" dxfId="2" operator="equal" stopIfTrue="1">
      <formula>1</formula>
    </cfRule>
  </conditionalFormatting>
  <conditionalFormatting sqref="M3:M26">
    <cfRule type="cellIs" priority="1" dxfId="2" operator="equal" stopIfTrue="1">
      <formula>1</formula>
    </cfRule>
  </conditionalFormatting>
  <printOptions/>
  <pageMargins left="0.2" right="0.2" top="0.17" bottom="0.17" header="0.17" footer="0.19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4"/>
  <sheetViews>
    <sheetView zoomScale="120" zoomScaleNormal="120" zoomScalePageLayoutView="0" workbookViewId="0" topLeftCell="A1">
      <selection activeCell="R14" sqref="R14"/>
    </sheetView>
  </sheetViews>
  <sheetFormatPr defaultColWidth="9.140625" defaultRowHeight="15"/>
  <cols>
    <col min="1" max="2" width="9.140625" style="1" customWidth="1"/>
    <col min="3" max="3" width="6.28125" style="1" bestFit="1" customWidth="1"/>
    <col min="4" max="5" width="9.140625" style="1" bestFit="1" customWidth="1"/>
    <col min="6" max="6" width="7.28125" style="1" bestFit="1" customWidth="1"/>
    <col min="7" max="7" width="7.7109375" style="1" customWidth="1"/>
    <col min="8" max="8" width="6.7109375" style="1" customWidth="1"/>
    <col min="9" max="9" width="14.140625" style="1" bestFit="1" customWidth="1"/>
    <col min="10" max="10" width="12.7109375" style="1" bestFit="1" customWidth="1"/>
    <col min="11" max="11" width="7.7109375" style="1" customWidth="1"/>
    <col min="12" max="12" width="6.7109375" style="1" customWidth="1"/>
    <col min="13" max="13" width="15.00390625" style="1" bestFit="1" customWidth="1"/>
    <col min="14" max="14" width="12.140625" style="1" bestFit="1" customWidth="1"/>
    <col min="15" max="16384" width="9.140625" style="1" customWidth="1"/>
  </cols>
  <sheetData>
    <row r="1" ht="13.5" thickBot="1"/>
    <row r="2" spans="2:14" ht="15.75" customHeight="1" thickBot="1">
      <c r="B2" s="128" t="s">
        <v>88</v>
      </c>
      <c r="C2" s="87">
        <v>22</v>
      </c>
      <c r="D2" s="137"/>
      <c r="E2" s="137"/>
      <c r="F2" s="138"/>
      <c r="G2" s="308" t="s">
        <v>87</v>
      </c>
      <c r="H2" s="309"/>
      <c r="I2" s="309"/>
      <c r="J2" s="310"/>
      <c r="K2" s="308" t="s">
        <v>75</v>
      </c>
      <c r="L2" s="309"/>
      <c r="M2" s="309"/>
      <c r="N2" s="310"/>
    </row>
    <row r="3" spans="2:14" ht="64.5" customHeight="1" thickBot="1">
      <c r="B3" s="127" t="s">
        <v>82</v>
      </c>
      <c r="C3" s="104" t="s">
        <v>86</v>
      </c>
      <c r="D3" s="125" t="s">
        <v>85</v>
      </c>
      <c r="E3" s="104" t="s">
        <v>84</v>
      </c>
      <c r="F3" s="139" t="s">
        <v>81</v>
      </c>
      <c r="G3" s="126" t="s">
        <v>80</v>
      </c>
      <c r="H3" s="125" t="s">
        <v>79</v>
      </c>
      <c r="I3" s="125" t="s">
        <v>78</v>
      </c>
      <c r="J3" s="124" t="s">
        <v>83</v>
      </c>
      <c r="K3" s="126" t="s">
        <v>80</v>
      </c>
      <c r="L3" s="125" t="s">
        <v>79</v>
      </c>
      <c r="M3" s="125" t="s">
        <v>78</v>
      </c>
      <c r="N3" s="124" t="s">
        <v>77</v>
      </c>
    </row>
    <row r="4" spans="2:14" ht="12.75">
      <c r="B4" s="101">
        <v>1</v>
      </c>
      <c r="C4" s="105">
        <v>1</v>
      </c>
      <c r="D4" s="105">
        <v>10</v>
      </c>
      <c r="E4" s="123">
        <f>D4*(C4/70)</f>
        <v>0.14285714285714285</v>
      </c>
      <c r="F4" s="140">
        <v>2014</v>
      </c>
      <c r="G4" s="130">
        <v>22317.325460733166</v>
      </c>
      <c r="H4" s="133">
        <v>5.113252660066044</v>
      </c>
      <c r="I4" s="129">
        <f aca="true" t="shared" si="0" ref="I4:I31">IF(B4&gt;C$2,0,(H4*2000*453.6)/(G4*1000))</f>
        <v>0.2078538855999425</v>
      </c>
      <c r="J4" s="122">
        <f aca="true" t="shared" si="1" ref="J4:J31">E4*I4</f>
        <v>0.029693412228563212</v>
      </c>
      <c r="K4" s="130">
        <v>2905.0790265863516</v>
      </c>
      <c r="L4" s="133">
        <v>0.4536806808249962</v>
      </c>
      <c r="M4" s="121">
        <f aca="true" t="shared" si="2" ref="M4:M31">IF(B4&gt;C$2,0,(L4*2000*453.6)/(K4*1000))</f>
        <v>0.14167570309716068</v>
      </c>
      <c r="N4" s="120">
        <f aca="true" t="shared" si="3" ref="N4:N31">M4*E4</f>
        <v>0.02023938615673724</v>
      </c>
    </row>
    <row r="5" spans="2:14" ht="12.75">
      <c r="B5" s="58">
        <v>2</v>
      </c>
      <c r="C5" s="105">
        <f aca="true" t="shared" si="4" ref="C5:C27">IF(B5&gt;C$2,0,IF(B5=C$2,70.25-B4,1))</f>
        <v>1</v>
      </c>
      <c r="D5" s="174">
        <v>10</v>
      </c>
      <c r="E5" s="123">
        <f aca="true" t="shared" si="5" ref="E5:E31">D5*(C5/70)</f>
        <v>0.14285714285714285</v>
      </c>
      <c r="F5" s="141">
        <v>2015</v>
      </c>
      <c r="G5" s="131">
        <v>22764.19506040103</v>
      </c>
      <c r="H5" s="134">
        <v>4.754855904420683</v>
      </c>
      <c r="I5" s="129">
        <f t="shared" si="0"/>
        <v>0.18949078871644728</v>
      </c>
      <c r="J5" s="119">
        <f t="shared" si="1"/>
        <v>0.027070112673778183</v>
      </c>
      <c r="K5" s="131">
        <v>3027.802193102266</v>
      </c>
      <c r="L5" s="134">
        <v>0.3587036937399263</v>
      </c>
      <c r="M5" s="121">
        <f t="shared" si="2"/>
        <v>0.10747597438901453</v>
      </c>
      <c r="N5" s="117">
        <f t="shared" si="3"/>
        <v>0.015353710627002075</v>
      </c>
    </row>
    <row r="6" spans="1:14" ht="12.75">
      <c r="A6" s="84" t="s">
        <v>89</v>
      </c>
      <c r="B6" s="58">
        <v>3</v>
      </c>
      <c r="C6" s="105">
        <f t="shared" si="4"/>
        <v>1</v>
      </c>
      <c r="D6" s="174">
        <v>4.75</v>
      </c>
      <c r="E6" s="123">
        <f t="shared" si="5"/>
        <v>0.06785714285714285</v>
      </c>
      <c r="F6" s="141">
        <v>2016</v>
      </c>
      <c r="G6" s="131">
        <v>23211.592853528997</v>
      </c>
      <c r="H6" s="134">
        <v>4.43643699174225</v>
      </c>
      <c r="I6" s="129">
        <f t="shared" si="0"/>
        <v>0.17339334117678465</v>
      </c>
      <c r="J6" s="119">
        <f t="shared" si="1"/>
        <v>0.011765976722710385</v>
      </c>
      <c r="K6" s="131">
        <v>3150.499261766139</v>
      </c>
      <c r="L6" s="134">
        <v>0.31537398289944074</v>
      </c>
      <c r="M6" s="121">
        <f t="shared" si="2"/>
        <v>0.09081331354636907</v>
      </c>
      <c r="N6" s="117">
        <f t="shared" si="3"/>
        <v>0.006162331990646472</v>
      </c>
    </row>
    <row r="7" spans="2:14" ht="12.75">
      <c r="B7" s="58">
        <v>4</v>
      </c>
      <c r="C7" s="105">
        <f t="shared" si="4"/>
        <v>1</v>
      </c>
      <c r="D7" s="174">
        <v>3</v>
      </c>
      <c r="E7" s="123">
        <f t="shared" si="5"/>
        <v>0.04285714285714286</v>
      </c>
      <c r="F7" s="141">
        <v>2017</v>
      </c>
      <c r="G7" s="131">
        <v>23655.98219357308</v>
      </c>
      <c r="H7" s="134">
        <v>4.124261725136551</v>
      </c>
      <c r="I7" s="129">
        <f t="shared" si="0"/>
        <v>0.15816423120492493</v>
      </c>
      <c r="J7" s="119">
        <f t="shared" si="1"/>
        <v>0.0067784670516396394</v>
      </c>
      <c r="K7" s="131">
        <v>3273.5901751503097</v>
      </c>
      <c r="L7" s="134">
        <v>0.28476687100974435</v>
      </c>
      <c r="M7" s="121">
        <f t="shared" si="2"/>
        <v>0.07891656913595733</v>
      </c>
      <c r="N7" s="117">
        <f t="shared" si="3"/>
        <v>0.0033821386772553146</v>
      </c>
    </row>
    <row r="8" spans="2:14" ht="12.75">
      <c r="B8" s="58">
        <v>5</v>
      </c>
      <c r="C8" s="105">
        <f t="shared" si="4"/>
        <v>1</v>
      </c>
      <c r="D8" s="174">
        <v>3</v>
      </c>
      <c r="E8" s="123">
        <f t="shared" si="5"/>
        <v>0.04285714285714286</v>
      </c>
      <c r="F8" s="141">
        <v>2018</v>
      </c>
      <c r="G8" s="131">
        <v>24027.23028144505</v>
      </c>
      <c r="H8" s="134">
        <v>3.8691090882909944</v>
      </c>
      <c r="I8" s="129">
        <f t="shared" si="0"/>
        <v>0.14608657443168635</v>
      </c>
      <c r="J8" s="119">
        <f t="shared" si="1"/>
        <v>0.006260853189929415</v>
      </c>
      <c r="K8" s="131">
        <v>3357.4305747204085</v>
      </c>
      <c r="L8" s="134">
        <v>0.2788025510166713</v>
      </c>
      <c r="M8" s="121">
        <f t="shared" si="2"/>
        <v>0.0753342976580795</v>
      </c>
      <c r="N8" s="117">
        <f t="shared" si="3"/>
        <v>0.003228612756774836</v>
      </c>
    </row>
    <row r="9" spans="2:14" ht="12.75">
      <c r="B9" s="58">
        <v>6</v>
      </c>
      <c r="C9" s="105">
        <f t="shared" si="4"/>
        <v>1</v>
      </c>
      <c r="D9" s="174">
        <v>3</v>
      </c>
      <c r="E9" s="123">
        <f t="shared" si="5"/>
        <v>0.04285714285714286</v>
      </c>
      <c r="F9" s="141">
        <v>2019</v>
      </c>
      <c r="G9" s="131">
        <v>24402.30666963579</v>
      </c>
      <c r="H9" s="134">
        <v>3.68117953372777</v>
      </c>
      <c r="I9" s="129">
        <f t="shared" si="0"/>
        <v>0.13685452437794798</v>
      </c>
      <c r="J9" s="119">
        <f t="shared" si="1"/>
        <v>0.005865193901912057</v>
      </c>
      <c r="K9" s="131">
        <v>3438.887416588921</v>
      </c>
      <c r="L9" s="134">
        <v>0.2736710582558137</v>
      </c>
      <c r="M9" s="121">
        <f t="shared" si="2"/>
        <v>0.07219613612589298</v>
      </c>
      <c r="N9" s="117">
        <f t="shared" si="3"/>
        <v>0.003094120119681128</v>
      </c>
    </row>
    <row r="10" spans="2:14" ht="12.75">
      <c r="B10" s="58">
        <v>7</v>
      </c>
      <c r="C10" s="105">
        <f t="shared" si="4"/>
        <v>1</v>
      </c>
      <c r="D10" s="174">
        <v>3</v>
      </c>
      <c r="E10" s="123">
        <f t="shared" si="5"/>
        <v>0.04285714285714286</v>
      </c>
      <c r="F10" s="141">
        <v>2020</v>
      </c>
      <c r="G10" s="131">
        <v>24770.13225701903</v>
      </c>
      <c r="H10" s="134">
        <v>3.5553742060009426</v>
      </c>
      <c r="I10" s="129">
        <f t="shared" si="0"/>
        <v>0.13021470560659093</v>
      </c>
      <c r="J10" s="119">
        <f t="shared" si="1"/>
        <v>0.005580630240282469</v>
      </c>
      <c r="K10" s="131">
        <v>3514.8743961644873</v>
      </c>
      <c r="L10" s="134">
        <v>0.2647257219620442</v>
      </c>
      <c r="M10" s="121">
        <f t="shared" si="2"/>
        <v>0.06832653116311461</v>
      </c>
      <c r="N10" s="117">
        <f t="shared" si="3"/>
        <v>0.0029282799069906265</v>
      </c>
    </row>
    <row r="11" spans="2:14" ht="12.75">
      <c r="B11" s="58">
        <v>8</v>
      </c>
      <c r="C11" s="105">
        <f t="shared" si="4"/>
        <v>1</v>
      </c>
      <c r="D11" s="174">
        <v>3</v>
      </c>
      <c r="E11" s="123">
        <f t="shared" si="5"/>
        <v>0.04285714285714286</v>
      </c>
      <c r="F11" s="141">
        <v>2021</v>
      </c>
      <c r="G11" s="131">
        <v>25427.290229766848</v>
      </c>
      <c r="H11" s="134">
        <v>3.468609647335306</v>
      </c>
      <c r="I11" s="129">
        <f t="shared" si="0"/>
        <v>0.12375375604824891</v>
      </c>
      <c r="J11" s="119">
        <f t="shared" si="1"/>
        <v>0.005303732402067811</v>
      </c>
      <c r="K11" s="131">
        <v>3596.24558562832</v>
      </c>
      <c r="L11" s="134">
        <v>0.256754678295067</v>
      </c>
      <c r="M11" s="121">
        <f t="shared" si="2"/>
        <v>0.06476972681736046</v>
      </c>
      <c r="N11" s="117">
        <f t="shared" si="3"/>
        <v>0.002775845435029734</v>
      </c>
    </row>
    <row r="12" spans="2:15" ht="12.75">
      <c r="B12" s="58">
        <v>9</v>
      </c>
      <c r="C12" s="105">
        <f t="shared" si="4"/>
        <v>1</v>
      </c>
      <c r="D12" s="174">
        <v>3</v>
      </c>
      <c r="E12" s="123">
        <f t="shared" si="5"/>
        <v>0.04285714285714286</v>
      </c>
      <c r="F12" s="141">
        <v>2022</v>
      </c>
      <c r="G12" s="131">
        <v>26068.07437377939</v>
      </c>
      <c r="H12" s="134">
        <v>3.38994558092977</v>
      </c>
      <c r="I12" s="129">
        <f t="shared" si="0"/>
        <v>0.11797413905312627</v>
      </c>
      <c r="J12" s="119">
        <f t="shared" si="1"/>
        <v>0.005056034530848269</v>
      </c>
      <c r="K12" s="131">
        <v>3673.7620919975952</v>
      </c>
      <c r="L12" s="134">
        <v>0.2565484614193066</v>
      </c>
      <c r="M12" s="121">
        <f t="shared" si="2"/>
        <v>0.06335216009402585</v>
      </c>
      <c r="N12" s="117">
        <f t="shared" si="3"/>
        <v>0.0027150925754582506</v>
      </c>
      <c r="O12" s="255"/>
    </row>
    <row r="13" spans="2:14" ht="12.75">
      <c r="B13" s="58">
        <v>10</v>
      </c>
      <c r="C13" s="105">
        <f t="shared" si="4"/>
        <v>1</v>
      </c>
      <c r="D13" s="174">
        <v>3</v>
      </c>
      <c r="E13" s="123">
        <f t="shared" si="5"/>
        <v>0.04285714285714286</v>
      </c>
      <c r="F13" s="141">
        <v>2023</v>
      </c>
      <c r="G13" s="131">
        <v>26707.184134006846</v>
      </c>
      <c r="H13" s="134">
        <v>3.339162172112196</v>
      </c>
      <c r="I13" s="129">
        <f t="shared" si="0"/>
        <v>0.11342595712600512</v>
      </c>
      <c r="J13" s="119">
        <f t="shared" si="1"/>
        <v>0.0048611124482573626</v>
      </c>
      <c r="K13" s="131">
        <v>3750.356291803522</v>
      </c>
      <c r="L13" s="134">
        <v>0.2511418893761685</v>
      </c>
      <c r="M13" s="121">
        <f t="shared" si="2"/>
        <v>0.06075047390563931</v>
      </c>
      <c r="N13" s="117">
        <f t="shared" si="3"/>
        <v>0.0026035917388131133</v>
      </c>
    </row>
    <row r="14" spans="2:14" ht="12.75">
      <c r="B14" s="58">
        <v>11</v>
      </c>
      <c r="C14" s="105">
        <f t="shared" si="4"/>
        <v>1</v>
      </c>
      <c r="D14" s="174">
        <v>3</v>
      </c>
      <c r="E14" s="123">
        <f t="shared" si="5"/>
        <v>0.04285714285714286</v>
      </c>
      <c r="F14" s="141">
        <v>2024</v>
      </c>
      <c r="G14" s="131">
        <v>27225.250608616025</v>
      </c>
      <c r="H14" s="134">
        <v>3.2880966011666195</v>
      </c>
      <c r="I14" s="129">
        <f t="shared" si="0"/>
        <v>0.10956597900459121</v>
      </c>
      <c r="J14" s="119">
        <f t="shared" si="1"/>
        <v>0.004695684814482481</v>
      </c>
      <c r="K14" s="131">
        <v>3819.374397392987</v>
      </c>
      <c r="L14" s="134">
        <v>0.25532137834717167</v>
      </c>
      <c r="M14" s="121">
        <f t="shared" si="2"/>
        <v>0.06064541737376088</v>
      </c>
      <c r="N14" s="117">
        <f t="shared" si="3"/>
        <v>0.0025990893160183237</v>
      </c>
    </row>
    <row r="15" spans="2:14" ht="12.75">
      <c r="B15" s="58">
        <v>12</v>
      </c>
      <c r="C15" s="105">
        <f t="shared" si="4"/>
        <v>1</v>
      </c>
      <c r="D15" s="174">
        <v>3</v>
      </c>
      <c r="E15" s="123">
        <f t="shared" si="5"/>
        <v>0.04285714285714286</v>
      </c>
      <c r="F15" s="141">
        <v>2025</v>
      </c>
      <c r="G15" s="131">
        <v>27750.172313539144</v>
      </c>
      <c r="H15" s="134">
        <v>3.2646083468884215</v>
      </c>
      <c r="I15" s="129">
        <f t="shared" si="0"/>
        <v>0.10672556043380689</v>
      </c>
      <c r="J15" s="119">
        <f t="shared" si="1"/>
        <v>0.004573952590020296</v>
      </c>
      <c r="K15" s="131">
        <v>3887.8674363584314</v>
      </c>
      <c r="L15" s="134">
        <v>0.2592517095192316</v>
      </c>
      <c r="M15" s="121">
        <f t="shared" si="2"/>
        <v>0.06049412813728558</v>
      </c>
      <c r="N15" s="117">
        <f t="shared" si="3"/>
        <v>0.0025926054915979533</v>
      </c>
    </row>
    <row r="16" spans="2:14" ht="12.75">
      <c r="B16" s="58">
        <v>13</v>
      </c>
      <c r="C16" s="105">
        <f t="shared" si="4"/>
        <v>1</v>
      </c>
      <c r="D16" s="174">
        <v>3</v>
      </c>
      <c r="E16" s="123">
        <f t="shared" si="5"/>
        <v>0.04285714285714286</v>
      </c>
      <c r="F16" s="141">
        <v>2026</v>
      </c>
      <c r="G16" s="131">
        <v>28247.921489694156</v>
      </c>
      <c r="H16" s="134">
        <v>3.25118541911887</v>
      </c>
      <c r="I16" s="129">
        <f t="shared" si="0"/>
        <v>0.10441389159555377</v>
      </c>
      <c r="J16" s="119">
        <f t="shared" si="1"/>
        <v>0.004474881068380876</v>
      </c>
      <c r="K16" s="131">
        <v>3956.020556684588</v>
      </c>
      <c r="L16" s="134">
        <v>0.2603552874873272</v>
      </c>
      <c r="M16" s="121">
        <f t="shared" si="2"/>
        <v>0.05970502767216408</v>
      </c>
      <c r="N16" s="117">
        <f t="shared" si="3"/>
        <v>0.0025587869002356035</v>
      </c>
    </row>
    <row r="17" spans="2:14" ht="12.75">
      <c r="B17" s="58">
        <v>14</v>
      </c>
      <c r="C17" s="105">
        <f t="shared" si="4"/>
        <v>1</v>
      </c>
      <c r="D17" s="174">
        <v>3</v>
      </c>
      <c r="E17" s="123">
        <f t="shared" si="5"/>
        <v>0.04285714285714286</v>
      </c>
      <c r="F17" s="141">
        <v>2027</v>
      </c>
      <c r="G17" s="131">
        <v>28765.145053560052</v>
      </c>
      <c r="H17" s="134">
        <v>3.2416136957753157</v>
      </c>
      <c r="I17" s="129">
        <f t="shared" si="0"/>
        <v>0.1022345598929426</v>
      </c>
      <c r="J17" s="119">
        <f t="shared" si="1"/>
        <v>0.004381481138268969</v>
      </c>
      <c r="K17" s="131">
        <v>4025.282437339302</v>
      </c>
      <c r="L17" s="134">
        <v>0.26403136272659905</v>
      </c>
      <c r="M17" s="121">
        <f t="shared" si="2"/>
        <v>0.0595061976381212</v>
      </c>
      <c r="N17" s="117">
        <f t="shared" si="3"/>
        <v>0.002550265613062337</v>
      </c>
    </row>
    <row r="18" spans="2:14" ht="12.75">
      <c r="B18" s="58">
        <v>15</v>
      </c>
      <c r="C18" s="105">
        <f t="shared" si="4"/>
        <v>1</v>
      </c>
      <c r="D18" s="174">
        <v>3</v>
      </c>
      <c r="E18" s="123">
        <f t="shared" si="5"/>
        <v>0.04285714285714286</v>
      </c>
      <c r="F18" s="141">
        <v>2028</v>
      </c>
      <c r="G18" s="131">
        <v>29305.81118784899</v>
      </c>
      <c r="H18" s="134">
        <v>3.236419195594862</v>
      </c>
      <c r="I18" s="129">
        <f t="shared" si="0"/>
        <v>0.10018762065392134</v>
      </c>
      <c r="J18" s="119">
        <f t="shared" si="1"/>
        <v>0.004293755170882343</v>
      </c>
      <c r="K18" s="131">
        <v>4096.08822765954</v>
      </c>
      <c r="L18" s="134">
        <v>0.26713422879694143</v>
      </c>
      <c r="M18" s="121">
        <f t="shared" si="2"/>
        <v>0.05916478329937196</v>
      </c>
      <c r="N18" s="117">
        <f t="shared" si="3"/>
        <v>0.002535633569973084</v>
      </c>
    </row>
    <row r="19" spans="2:14" ht="12.75">
      <c r="B19" s="58">
        <v>16</v>
      </c>
      <c r="C19" s="105">
        <f t="shared" si="4"/>
        <v>1</v>
      </c>
      <c r="D19" s="174">
        <v>3</v>
      </c>
      <c r="E19" s="123">
        <f t="shared" si="5"/>
        <v>0.04285714285714286</v>
      </c>
      <c r="F19" s="141">
        <v>2029</v>
      </c>
      <c r="G19" s="131">
        <v>29871.91849922135</v>
      </c>
      <c r="H19" s="134">
        <v>3.233511038801508</v>
      </c>
      <c r="I19" s="129">
        <f t="shared" si="0"/>
        <v>0.09820062994873235</v>
      </c>
      <c r="J19" s="119">
        <f t="shared" si="1"/>
        <v>0.004208598426374244</v>
      </c>
      <c r="K19" s="131">
        <v>4170.36118960427</v>
      </c>
      <c r="L19" s="134">
        <v>0.27043649655028</v>
      </c>
      <c r="M19" s="121">
        <f t="shared" si="2"/>
        <v>0.05882943431422413</v>
      </c>
      <c r="N19" s="117">
        <f t="shared" si="3"/>
        <v>0.002521261470609606</v>
      </c>
    </row>
    <row r="20" spans="1:14" ht="12.75">
      <c r="A20" s="84" t="s">
        <v>90</v>
      </c>
      <c r="B20" s="58">
        <v>17</v>
      </c>
      <c r="C20" s="105">
        <f t="shared" si="4"/>
        <v>1</v>
      </c>
      <c r="D20" s="174">
        <v>1.5</v>
      </c>
      <c r="E20" s="123">
        <f t="shared" si="5"/>
        <v>0.02142857142857143</v>
      </c>
      <c r="F20" s="141">
        <v>2030</v>
      </c>
      <c r="G20" s="131">
        <v>30456.680428853062</v>
      </c>
      <c r="H20" s="134">
        <v>3.235743381774607</v>
      </c>
      <c r="I20" s="129">
        <f t="shared" si="0"/>
        <v>0.09638169211523842</v>
      </c>
      <c r="J20" s="119">
        <f t="shared" si="1"/>
        <v>0.0020653219738979663</v>
      </c>
      <c r="K20" s="131">
        <v>4248.506721780415</v>
      </c>
      <c r="L20" s="134">
        <v>0.2746102993572091</v>
      </c>
      <c r="M20" s="121">
        <f t="shared" si="2"/>
        <v>0.05863859466190489</v>
      </c>
      <c r="N20" s="117">
        <f t="shared" si="3"/>
        <v>0.0012565413141836762</v>
      </c>
    </row>
    <row r="21" spans="2:14" ht="12.75">
      <c r="B21" s="58">
        <v>18</v>
      </c>
      <c r="C21" s="105">
        <f t="shared" si="4"/>
        <v>1</v>
      </c>
      <c r="D21" s="174">
        <v>1</v>
      </c>
      <c r="E21" s="123">
        <f t="shared" si="5"/>
        <v>0.014285714285714285</v>
      </c>
      <c r="F21" s="141">
        <v>2031</v>
      </c>
      <c r="G21" s="131">
        <v>30960.278729738013</v>
      </c>
      <c r="H21" s="134">
        <v>3.237767361495286</v>
      </c>
      <c r="I21" s="129">
        <f t="shared" si="0"/>
        <v>0.09487325924902548</v>
      </c>
      <c r="J21" s="119">
        <f t="shared" si="1"/>
        <v>0.0013553322749860783</v>
      </c>
      <c r="K21" s="131">
        <v>4328.929268421785</v>
      </c>
      <c r="L21" s="134">
        <v>0.2794538892961043</v>
      </c>
      <c r="M21" s="121">
        <f t="shared" si="2"/>
        <v>0.058564266738840215</v>
      </c>
      <c r="N21" s="117">
        <f t="shared" si="3"/>
        <v>0.0008366323819834317</v>
      </c>
    </row>
    <row r="22" spans="2:14" ht="12.75">
      <c r="B22" s="58">
        <v>19</v>
      </c>
      <c r="C22" s="105">
        <f t="shared" si="4"/>
        <v>1</v>
      </c>
      <c r="D22" s="174">
        <v>1</v>
      </c>
      <c r="E22" s="123">
        <f t="shared" si="5"/>
        <v>0.014285714285714285</v>
      </c>
      <c r="F22" s="141">
        <v>2032</v>
      </c>
      <c r="G22" s="131">
        <v>31484.088383946437</v>
      </c>
      <c r="H22" s="134">
        <v>3.245250156245405</v>
      </c>
      <c r="I22" s="129">
        <f t="shared" si="0"/>
        <v>0.09351043949066688</v>
      </c>
      <c r="J22" s="119">
        <f t="shared" si="1"/>
        <v>0.0013358634212952412</v>
      </c>
      <c r="K22" s="131">
        <v>4413.209000200018</v>
      </c>
      <c r="L22" s="134">
        <v>0.2845560587831596</v>
      </c>
      <c r="M22" s="121">
        <f t="shared" si="2"/>
        <v>0.058494681878057994</v>
      </c>
      <c r="N22" s="117">
        <f t="shared" si="3"/>
        <v>0.0008356383125436856</v>
      </c>
    </row>
    <row r="23" spans="2:14" ht="12.75">
      <c r="B23" s="58">
        <v>20</v>
      </c>
      <c r="C23" s="105">
        <f t="shared" si="4"/>
        <v>1</v>
      </c>
      <c r="D23" s="174">
        <v>1</v>
      </c>
      <c r="E23" s="123">
        <f t="shared" si="5"/>
        <v>0.014285714285714285</v>
      </c>
      <c r="F23" s="141">
        <v>2033</v>
      </c>
      <c r="G23" s="131">
        <v>32028.300388145297</v>
      </c>
      <c r="H23" s="134">
        <v>3.2587934812499286</v>
      </c>
      <c r="I23" s="129">
        <f t="shared" si="0"/>
        <v>0.092305161696441</v>
      </c>
      <c r="J23" s="119">
        <f t="shared" si="1"/>
        <v>0.0013186451670920143</v>
      </c>
      <c r="K23" s="131">
        <v>4501.490922627736</v>
      </c>
      <c r="L23" s="134">
        <v>0.2899016215893382</v>
      </c>
      <c r="M23" s="121">
        <f t="shared" si="2"/>
        <v>0.058424809829966874</v>
      </c>
      <c r="N23" s="117">
        <f t="shared" si="3"/>
        <v>0.0008346401404280982</v>
      </c>
    </row>
    <row r="24" spans="2:14" ht="12.75">
      <c r="B24" s="58">
        <v>21</v>
      </c>
      <c r="C24" s="105">
        <f t="shared" si="4"/>
        <v>1</v>
      </c>
      <c r="D24" s="174">
        <v>1</v>
      </c>
      <c r="E24" s="123">
        <f t="shared" si="5"/>
        <v>0.014285714285714285</v>
      </c>
      <c r="F24" s="141">
        <v>2034</v>
      </c>
      <c r="G24" s="131">
        <v>32592.1759132214</v>
      </c>
      <c r="H24" s="134">
        <v>3.2696120159363646</v>
      </c>
      <c r="I24" s="129">
        <f t="shared" si="0"/>
        <v>0.09100932778330395</v>
      </c>
      <c r="J24" s="119">
        <f t="shared" si="1"/>
        <v>0.0013001332540471993</v>
      </c>
      <c r="K24" s="131">
        <v>4593.865627429084</v>
      </c>
      <c r="L24" s="134">
        <v>0.29525087606233197</v>
      </c>
      <c r="M24" s="121">
        <f t="shared" si="2"/>
        <v>0.05830636254670955</v>
      </c>
      <c r="N24" s="117">
        <f t="shared" si="3"/>
        <v>0.000832948036381565</v>
      </c>
    </row>
    <row r="25" spans="2:14" ht="12.75">
      <c r="B25" s="58">
        <v>22</v>
      </c>
      <c r="C25" s="105">
        <f t="shared" si="4"/>
        <v>49.25</v>
      </c>
      <c r="D25" s="174">
        <v>1</v>
      </c>
      <c r="E25" s="123">
        <f t="shared" si="5"/>
        <v>0.7035714285714286</v>
      </c>
      <c r="F25" s="141">
        <v>2035</v>
      </c>
      <c r="G25" s="131">
        <v>33168.647017268595</v>
      </c>
      <c r="H25" s="134">
        <v>3.2693518275981868</v>
      </c>
      <c r="I25" s="129">
        <f t="shared" si="0"/>
        <v>0.08942046916936074</v>
      </c>
      <c r="J25" s="119">
        <f t="shared" si="1"/>
        <v>0.06291368723701453</v>
      </c>
      <c r="K25" s="131">
        <v>4689.886870287605</v>
      </c>
      <c r="L25" s="134">
        <v>0.3008910878223535</v>
      </c>
      <c r="M25" s="121">
        <f t="shared" si="2"/>
        <v>0.05820362034781864</v>
      </c>
      <c r="N25" s="117">
        <f t="shared" si="3"/>
        <v>0.04095040431614383</v>
      </c>
    </row>
    <row r="26" spans="2:14" ht="12.75">
      <c r="B26" s="58">
        <v>23</v>
      </c>
      <c r="C26" s="105">
        <f t="shared" si="4"/>
        <v>0</v>
      </c>
      <c r="D26" s="174">
        <v>1</v>
      </c>
      <c r="E26" s="123">
        <f t="shared" si="5"/>
        <v>0</v>
      </c>
      <c r="F26" s="141"/>
      <c r="G26" s="131"/>
      <c r="H26" s="134"/>
      <c r="I26" s="129">
        <f t="shared" si="0"/>
        <v>0</v>
      </c>
      <c r="J26" s="119">
        <f t="shared" si="1"/>
        <v>0</v>
      </c>
      <c r="K26" s="131"/>
      <c r="L26" s="134"/>
      <c r="M26" s="121">
        <f t="shared" si="2"/>
        <v>0</v>
      </c>
      <c r="N26" s="117">
        <f t="shared" si="3"/>
        <v>0</v>
      </c>
    </row>
    <row r="27" spans="2:14" ht="12.75">
      <c r="B27" s="58">
        <v>24</v>
      </c>
      <c r="C27" s="105">
        <f t="shared" si="4"/>
        <v>0</v>
      </c>
      <c r="D27" s="174">
        <v>1</v>
      </c>
      <c r="E27" s="123">
        <f t="shared" si="5"/>
        <v>0</v>
      </c>
      <c r="F27" s="141"/>
      <c r="G27" s="131"/>
      <c r="H27" s="134"/>
      <c r="I27" s="129">
        <f t="shared" si="0"/>
        <v>0</v>
      </c>
      <c r="J27" s="119">
        <f t="shared" si="1"/>
        <v>0</v>
      </c>
      <c r="K27" s="131"/>
      <c r="L27" s="134"/>
      <c r="M27" s="121">
        <f t="shared" si="2"/>
        <v>0</v>
      </c>
      <c r="N27" s="117">
        <f t="shared" si="3"/>
        <v>0</v>
      </c>
    </row>
    <row r="28" spans="2:14" ht="12.75">
      <c r="B28" s="58">
        <v>25</v>
      </c>
      <c r="C28" s="105">
        <f>IF(B28&gt;C$2,0,IF(B28=F26,1,1))</f>
        <v>0</v>
      </c>
      <c r="D28" s="174">
        <v>1</v>
      </c>
      <c r="E28" s="123">
        <f t="shared" si="5"/>
        <v>0</v>
      </c>
      <c r="F28" s="141"/>
      <c r="G28" s="131"/>
      <c r="H28" s="118"/>
      <c r="I28" s="129">
        <f t="shared" si="0"/>
        <v>0</v>
      </c>
      <c r="J28" s="119">
        <f t="shared" si="1"/>
        <v>0</v>
      </c>
      <c r="K28" s="131"/>
      <c r="L28" s="118"/>
      <c r="M28" s="121">
        <f t="shared" si="2"/>
        <v>0</v>
      </c>
      <c r="N28" s="117">
        <f t="shared" si="3"/>
        <v>0</v>
      </c>
    </row>
    <row r="29" spans="2:14" ht="12.75">
      <c r="B29" s="58">
        <v>26</v>
      </c>
      <c r="C29" s="105">
        <f>IF(B29&gt;C$2,0,IF(B29=F27,1,1))</f>
        <v>0</v>
      </c>
      <c r="D29" s="174">
        <v>1</v>
      </c>
      <c r="E29" s="123">
        <f t="shared" si="5"/>
        <v>0</v>
      </c>
      <c r="F29" s="141"/>
      <c r="G29" s="131"/>
      <c r="H29" s="118"/>
      <c r="I29" s="129">
        <f t="shared" si="0"/>
        <v>0</v>
      </c>
      <c r="J29" s="119">
        <f t="shared" si="1"/>
        <v>0</v>
      </c>
      <c r="K29" s="131"/>
      <c r="L29" s="118"/>
      <c r="M29" s="121">
        <f t="shared" si="2"/>
        <v>0</v>
      </c>
      <c r="N29" s="117">
        <f t="shared" si="3"/>
        <v>0</v>
      </c>
    </row>
    <row r="30" spans="2:14" ht="12.75">
      <c r="B30" s="58">
        <v>27</v>
      </c>
      <c r="C30" s="105">
        <f>IF(B30&gt;C$2,0,IF(B30=F28,1,1))</f>
        <v>0</v>
      </c>
      <c r="D30" s="174">
        <v>1</v>
      </c>
      <c r="E30" s="123">
        <f t="shared" si="5"/>
        <v>0</v>
      </c>
      <c r="F30" s="141"/>
      <c r="G30" s="131"/>
      <c r="H30" s="118"/>
      <c r="I30" s="129">
        <f t="shared" si="0"/>
        <v>0</v>
      </c>
      <c r="J30" s="119">
        <f t="shared" si="1"/>
        <v>0</v>
      </c>
      <c r="K30" s="131"/>
      <c r="L30" s="118"/>
      <c r="M30" s="121">
        <f t="shared" si="2"/>
        <v>0</v>
      </c>
      <c r="N30" s="117">
        <f t="shared" si="3"/>
        <v>0</v>
      </c>
    </row>
    <row r="31" spans="2:14" ht="13.5" thickBot="1">
      <c r="B31" s="59">
        <v>28</v>
      </c>
      <c r="C31" s="136">
        <f>IF(B31&gt;C$2,0,IF(B31=F29,1,1))</f>
        <v>0</v>
      </c>
      <c r="D31" s="60">
        <v>1</v>
      </c>
      <c r="E31" s="189">
        <f t="shared" si="5"/>
        <v>0</v>
      </c>
      <c r="F31" s="142"/>
      <c r="G31" s="132"/>
      <c r="H31" s="115"/>
      <c r="I31" s="135">
        <f t="shared" si="0"/>
        <v>0</v>
      </c>
      <c r="J31" s="116">
        <f t="shared" si="1"/>
        <v>0</v>
      </c>
      <c r="K31" s="132"/>
      <c r="L31" s="115"/>
      <c r="M31" s="143">
        <f t="shared" si="2"/>
        <v>0</v>
      </c>
      <c r="N31" s="114">
        <f t="shared" si="3"/>
        <v>0</v>
      </c>
    </row>
    <row r="32" spans="3:14" ht="13.5" thickBot="1">
      <c r="C32" s="1">
        <f>SUM(C4:C31)</f>
        <v>70.25</v>
      </c>
      <c r="E32" s="244">
        <f>SUM(E4:E31)</f>
        <v>1.6928571428571424</v>
      </c>
      <c r="I32" s="84" t="s">
        <v>91</v>
      </c>
      <c r="J32" s="144">
        <f>SUM(J4:J31)</f>
        <v>0.20515286192673104</v>
      </c>
      <c r="M32" s="84" t="s">
        <v>91</v>
      </c>
      <c r="N32" s="144">
        <f>SUM(N4:N31)</f>
        <v>0.12338755684754997</v>
      </c>
    </row>
    <row r="33" spans="2:14" ht="34.5" customHeight="1" thickBot="1">
      <c r="B33" s="311" t="s">
        <v>76</v>
      </c>
      <c r="C33" s="311"/>
      <c r="D33" s="311"/>
      <c r="E33" s="311"/>
      <c r="F33" s="311"/>
      <c r="G33" s="311"/>
      <c r="I33" s="190" t="s">
        <v>123</v>
      </c>
      <c r="J33" s="145">
        <f>J32/I4</f>
        <v>0.9870051807527422</v>
      </c>
      <c r="L33" s="138"/>
      <c r="M33" s="190" t="s">
        <v>122</v>
      </c>
      <c r="N33" s="145">
        <f>N32/M4</f>
        <v>0.8709154368052173</v>
      </c>
    </row>
    <row r="34" ht="12.75">
      <c r="I34" s="188"/>
    </row>
  </sheetData>
  <sheetProtection/>
  <mergeCells count="3">
    <mergeCell ref="K2:N2"/>
    <mergeCell ref="G2:J2"/>
    <mergeCell ref="B33:G33"/>
  </mergeCells>
  <printOptions/>
  <pageMargins left="0.2" right="0.2" top="0.17" bottom="0.17" header="0.17" footer="0.19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Leland Villalvazo</dc:creator>
  <cp:keywords/>
  <dc:description/>
  <cp:lastModifiedBy>Leland Villalvazo</cp:lastModifiedBy>
  <cp:lastPrinted>2013-11-12T14:35:33Z</cp:lastPrinted>
  <dcterms:created xsi:type="dcterms:W3CDTF">2011-10-08T04:02:18Z</dcterms:created>
  <dcterms:modified xsi:type="dcterms:W3CDTF">2013-11-12T14:37:33Z</dcterms:modified>
  <cp:category/>
  <cp:version/>
  <cp:contentType/>
  <cp:contentStatus/>
</cp:coreProperties>
</file>